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教育総務課\1.教育総務グループ\６奨学金・入学一時金\6.奨学生募集ポスター・要項\令和3年度募集（令和2年度受付）\第1回募集（11月2日～12月10日）\★R2編集済み\HP用\"/>
    </mc:Choice>
  </mc:AlternateContent>
  <workbookProtection workbookAlgorithmName="SHA-512" workbookHashValue="2P1gz5ePzfaXnumrCOpthlMwEqHYpNa4hetyN4jIwrk9k9E/wNSvoj/jhyiup6u3PNKrxoPTMQCTBLc9ld3smA==" workbookSaltValue="9s9M0XHqGjVY1r1CO0N3dQ==" workbookSpinCount="100000" lockStructure="1"/>
  <bookViews>
    <workbookView xWindow="600" yWindow="105" windowWidth="20475" windowHeight="9840"/>
  </bookViews>
  <sheets>
    <sheet name="ワークシート" sheetId="3" r:id="rId1"/>
    <sheet name="計算シート" sheetId="1" state="hidden" r:id="rId2"/>
    <sheet name="認定所得金額" sheetId="2" state="hidden" r:id="rId3"/>
  </sheets>
  <calcPr calcId="152511"/>
</workbook>
</file>

<file path=xl/calcChain.xml><?xml version="1.0" encoding="utf-8"?>
<calcChain xmlns="http://schemas.openxmlformats.org/spreadsheetml/2006/main">
  <c r="I22" i="1" l="1"/>
  <c r="I20" i="1"/>
  <c r="I21" i="1"/>
  <c r="I16" i="1"/>
  <c r="I14" i="1"/>
  <c r="I12" i="1"/>
  <c r="I23" i="1" l="1"/>
  <c r="B48" i="3" l="1"/>
  <c r="G33" i="1"/>
  <c r="I33" i="1" s="1"/>
  <c r="G29" i="1"/>
  <c r="G30" i="1"/>
  <c r="G31" i="1"/>
  <c r="G28" i="1"/>
  <c r="I28" i="1" s="1"/>
  <c r="G27" i="1"/>
  <c r="I27" i="1" s="1"/>
  <c r="H26" i="1"/>
  <c r="G26" i="1"/>
  <c r="H14" i="1"/>
  <c r="H15" i="1"/>
  <c r="H16" i="1"/>
  <c r="H17" i="1"/>
  <c r="H18" i="1"/>
  <c r="H19" i="1"/>
  <c r="H20" i="1"/>
  <c r="H21" i="1"/>
  <c r="H22" i="1"/>
  <c r="H23" i="1"/>
  <c r="H24" i="1"/>
  <c r="H13" i="1"/>
  <c r="G14" i="1"/>
  <c r="G15" i="1"/>
  <c r="G16" i="1"/>
  <c r="G17" i="1"/>
  <c r="G18" i="1"/>
  <c r="G19" i="1"/>
  <c r="G20" i="1"/>
  <c r="G21" i="1"/>
  <c r="G22" i="1"/>
  <c r="G23" i="1"/>
  <c r="G24" i="1"/>
  <c r="G13" i="1"/>
  <c r="G12" i="1"/>
  <c r="G11" i="1"/>
  <c r="C71" i="1"/>
  <c r="C72" i="1" s="1"/>
  <c r="B81" i="1" s="1"/>
  <c r="C59" i="1"/>
  <c r="C60" i="1" s="1"/>
  <c r="B69" i="1" s="1"/>
  <c r="C47" i="1"/>
  <c r="C34" i="1"/>
  <c r="C21" i="1"/>
  <c r="C11" i="1"/>
  <c r="I26" i="1" l="1"/>
  <c r="B78" i="1"/>
  <c r="B75" i="1"/>
  <c r="B79" i="1"/>
  <c r="B76" i="1"/>
  <c r="B80" i="1"/>
  <c r="B74" i="1"/>
  <c r="B77" i="1"/>
  <c r="B66" i="1"/>
  <c r="B63" i="1"/>
  <c r="B67" i="1"/>
  <c r="B64" i="1"/>
  <c r="B68" i="1"/>
  <c r="B62" i="1"/>
  <c r="B65" i="1"/>
  <c r="I24" i="1"/>
  <c r="I19" i="1"/>
  <c r="I18" i="1"/>
  <c r="I17" i="1"/>
  <c r="I15" i="1"/>
  <c r="I13" i="1"/>
  <c r="I11" i="1"/>
  <c r="I30" i="1"/>
  <c r="I31" i="1"/>
  <c r="I29" i="1"/>
  <c r="I7" i="1" l="1"/>
  <c r="C74" i="1"/>
  <c r="C62" i="1"/>
  <c r="C48" i="1"/>
  <c r="B56" i="1" s="1"/>
  <c r="C35" i="1"/>
  <c r="B43" i="1" s="1"/>
  <c r="C22" i="1"/>
  <c r="B24" i="1" s="1"/>
  <c r="E44" i="3" l="1"/>
  <c r="B51" i="1"/>
  <c r="B53" i="1"/>
  <c r="B55" i="1"/>
  <c r="B57" i="1"/>
  <c r="B50" i="1"/>
  <c r="B52" i="1"/>
  <c r="B54" i="1"/>
  <c r="B38" i="1"/>
  <c r="B40" i="1"/>
  <c r="B42" i="1"/>
  <c r="B44" i="1"/>
  <c r="B37" i="1"/>
  <c r="B39" i="1"/>
  <c r="B41" i="1"/>
  <c r="B26" i="1"/>
  <c r="B28" i="1"/>
  <c r="B30" i="1"/>
  <c r="B25" i="1"/>
  <c r="B27" i="1"/>
  <c r="B29" i="1"/>
  <c r="B31" i="1"/>
  <c r="C12" i="1"/>
  <c r="B17" i="1" l="1"/>
  <c r="B16" i="1"/>
  <c r="B15" i="1"/>
  <c r="C24" i="1"/>
  <c r="C50" i="1"/>
  <c r="C37" i="1"/>
  <c r="B14" i="1"/>
  <c r="C14" i="1" l="1"/>
  <c r="C7" i="1" s="1"/>
  <c r="C4" i="1" s="1"/>
  <c r="E16" i="3" l="1"/>
  <c r="E48" i="3" s="1"/>
  <c r="D50" i="3" l="1"/>
  <c r="F50" i="3"/>
</calcChain>
</file>

<file path=xl/sharedStrings.xml><?xml version="1.0" encoding="utf-8"?>
<sst xmlns="http://schemas.openxmlformats.org/spreadsheetml/2006/main" count="158" uniqueCount="87">
  <si>
    <t>家計支持者①＞家計支持者②</t>
    <rPh sb="0" eb="2">
      <t>カケイ</t>
    </rPh>
    <rPh sb="2" eb="5">
      <t>シジシャ</t>
    </rPh>
    <rPh sb="7" eb="9">
      <t>カケイ</t>
    </rPh>
    <rPh sb="9" eb="12">
      <t>シジシャ</t>
    </rPh>
    <phoneticPr fontId="1"/>
  </si>
  <si>
    <t>家計支持者①の場合</t>
    <rPh sb="0" eb="2">
      <t>カケイ</t>
    </rPh>
    <rPh sb="2" eb="5">
      <t>シジシャ</t>
    </rPh>
    <rPh sb="7" eb="9">
      <t>バアイ</t>
    </rPh>
    <phoneticPr fontId="1"/>
  </si>
  <si>
    <t>４０１万円以上７８１万円以下</t>
    <rPh sb="3" eb="4">
      <t>マン</t>
    </rPh>
    <rPh sb="4" eb="5">
      <t>エン</t>
    </rPh>
    <rPh sb="5" eb="7">
      <t>イジョウ</t>
    </rPh>
    <rPh sb="10" eb="11">
      <t>マン</t>
    </rPh>
    <rPh sb="11" eb="12">
      <t>エン</t>
    </rPh>
    <rPh sb="12" eb="14">
      <t>イカ</t>
    </rPh>
    <phoneticPr fontId="1"/>
  </si>
  <si>
    <t>７８２万円以上</t>
    <rPh sb="3" eb="5">
      <t>マンエン</t>
    </rPh>
    <rPh sb="5" eb="7">
      <t>イジョウ</t>
    </rPh>
    <phoneticPr fontId="1"/>
  </si>
  <si>
    <t>年間収入金額</t>
    <rPh sb="0" eb="2">
      <t>ネンカン</t>
    </rPh>
    <rPh sb="2" eb="4">
      <t>シュウニュウ</t>
    </rPh>
    <rPh sb="4" eb="6">
      <t>キンガク</t>
    </rPh>
    <phoneticPr fontId="1"/>
  </si>
  <si>
    <t>１万円単位切捨</t>
    <rPh sb="1" eb="3">
      <t>マンエン</t>
    </rPh>
    <rPh sb="3" eb="5">
      <t>タンイ</t>
    </rPh>
    <rPh sb="5" eb="6">
      <t>キ</t>
    </rPh>
    <rPh sb="6" eb="7">
      <t>ス</t>
    </rPh>
    <phoneticPr fontId="1"/>
  </si>
  <si>
    <t>家計支持者②の場合</t>
    <rPh sb="0" eb="2">
      <t>カケイ</t>
    </rPh>
    <rPh sb="2" eb="5">
      <t>シジシャ</t>
    </rPh>
    <rPh sb="7" eb="9">
      <t>バアイ</t>
    </rPh>
    <phoneticPr fontId="1"/>
  </si>
  <si>
    <t>６５万以下</t>
    <rPh sb="2" eb="3">
      <t>マン</t>
    </rPh>
    <rPh sb="3" eb="5">
      <t>イカ</t>
    </rPh>
    <phoneticPr fontId="1"/>
  </si>
  <si>
    <t>６６万以上１６３万以下</t>
    <rPh sb="2" eb="5">
      <t>マンイジョウ</t>
    </rPh>
    <rPh sb="8" eb="9">
      <t>マン</t>
    </rPh>
    <rPh sb="9" eb="11">
      <t>イカ</t>
    </rPh>
    <phoneticPr fontId="1"/>
  </si>
  <si>
    <t>１６４万以上１８０万以下</t>
    <rPh sb="3" eb="6">
      <t>マンイジョウ</t>
    </rPh>
    <rPh sb="9" eb="10">
      <t>マン</t>
    </rPh>
    <rPh sb="10" eb="12">
      <t>イカ</t>
    </rPh>
    <phoneticPr fontId="1"/>
  </si>
  <si>
    <t>１８１万以上３６０万以下</t>
    <rPh sb="3" eb="6">
      <t>マンイジョウ</t>
    </rPh>
    <rPh sb="9" eb="10">
      <t>マン</t>
    </rPh>
    <rPh sb="10" eb="12">
      <t>イカ</t>
    </rPh>
    <phoneticPr fontId="1"/>
  </si>
  <si>
    <t>３６１万以上６６０万以下</t>
    <rPh sb="3" eb="4">
      <t>マン</t>
    </rPh>
    <rPh sb="4" eb="6">
      <t>イジョウ</t>
    </rPh>
    <rPh sb="9" eb="10">
      <t>マン</t>
    </rPh>
    <rPh sb="10" eb="12">
      <t>イカ</t>
    </rPh>
    <phoneticPr fontId="1"/>
  </si>
  <si>
    <t>６６１万以上１，０００万以下</t>
    <rPh sb="3" eb="4">
      <t>マン</t>
    </rPh>
    <rPh sb="4" eb="6">
      <t>イジョウ</t>
    </rPh>
    <rPh sb="11" eb="12">
      <t>マン</t>
    </rPh>
    <rPh sb="12" eb="14">
      <t>イカ</t>
    </rPh>
    <phoneticPr fontId="1"/>
  </si>
  <si>
    <t>１，００１万以上１，５００万以下</t>
    <rPh sb="5" eb="6">
      <t>マン</t>
    </rPh>
    <rPh sb="6" eb="8">
      <t>イジョウ</t>
    </rPh>
    <rPh sb="13" eb="14">
      <t>マン</t>
    </rPh>
    <rPh sb="14" eb="16">
      <t>イカ</t>
    </rPh>
    <phoneticPr fontId="1"/>
  </si>
  <si>
    <t>１，５０１万以上</t>
    <rPh sb="5" eb="8">
      <t>マンイジョウ</t>
    </rPh>
    <phoneticPr fontId="1"/>
  </si>
  <si>
    <t>世帯合算所得</t>
    <rPh sb="0" eb="2">
      <t>セタイ</t>
    </rPh>
    <rPh sb="2" eb="4">
      <t>ガッサン</t>
    </rPh>
    <rPh sb="4" eb="6">
      <t>ショトク</t>
    </rPh>
    <phoneticPr fontId="1"/>
  </si>
  <si>
    <t>自宅外通学</t>
    <rPh sb="0" eb="2">
      <t>ジタク</t>
    </rPh>
    <rPh sb="2" eb="3">
      <t>ソト</t>
    </rPh>
    <rPh sb="3" eb="5">
      <t>ツウガク</t>
    </rPh>
    <phoneticPr fontId="1"/>
  </si>
  <si>
    <t>自宅通学</t>
    <rPh sb="0" eb="2">
      <t>ジタク</t>
    </rPh>
    <rPh sb="2" eb="4">
      <t>ツウガク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</si>
  <si>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</si>
  <si>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</si>
  <si>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私立高等学校</t>
    <rPh sb="0" eb="2">
      <t>シリツ</t>
    </rPh>
    <rPh sb="2" eb="4">
      <t>コウトウ</t>
    </rPh>
    <rPh sb="4" eb="6">
      <t>ガッコウ</t>
    </rPh>
    <phoneticPr fontId="1"/>
  </si>
  <si>
    <t>就学者の人数</t>
    <rPh sb="0" eb="2">
      <t>シュウガク</t>
    </rPh>
    <rPh sb="2" eb="3">
      <t>シャ</t>
    </rPh>
    <rPh sb="4" eb="6">
      <t>ニンズウ</t>
    </rPh>
    <phoneticPr fontId="1"/>
  </si>
  <si>
    <t>国公立高等学校</t>
    <rPh sb="0" eb="3">
      <t>コッコウリツ</t>
    </rPh>
    <rPh sb="3" eb="5">
      <t>コウトウ</t>
    </rPh>
    <rPh sb="5" eb="7">
      <t>ガッコウ</t>
    </rPh>
    <phoneticPr fontId="1"/>
  </si>
  <si>
    <t>国公立高等専門学校(1～3年次)</t>
    <rPh sb="0" eb="3">
      <t>コッコウリツ</t>
    </rPh>
    <rPh sb="3" eb="5">
      <t>コウトウ</t>
    </rPh>
    <rPh sb="5" eb="7">
      <t>センモン</t>
    </rPh>
    <rPh sb="7" eb="9">
      <t>ガッコウ</t>
    </rPh>
    <rPh sb="13" eb="15">
      <t>ネンジ</t>
    </rPh>
    <phoneticPr fontId="1"/>
  </si>
  <si>
    <t>国公立高等専門学校(4・5年次)</t>
    <rPh sb="0" eb="3">
      <t>コッコウリツ</t>
    </rPh>
    <rPh sb="3" eb="5">
      <t>コウトウ</t>
    </rPh>
    <rPh sb="5" eb="7">
      <t>センモン</t>
    </rPh>
    <rPh sb="7" eb="9">
      <t>ガッコウ</t>
    </rPh>
    <rPh sb="13" eb="15">
      <t>ネンジ</t>
    </rPh>
    <phoneticPr fontId="1"/>
  </si>
  <si>
    <t>私立高等専門学校(1～3年次)</t>
    <rPh sb="0" eb="2">
      <t>シリツ</t>
    </rPh>
    <rPh sb="2" eb="4">
      <t>コウトウ</t>
    </rPh>
    <rPh sb="4" eb="6">
      <t>センモン</t>
    </rPh>
    <rPh sb="6" eb="8">
      <t>ガッコウ</t>
    </rPh>
    <rPh sb="12" eb="14">
      <t>ネンジ</t>
    </rPh>
    <phoneticPr fontId="1"/>
  </si>
  <si>
    <t>私立高等専門学校(4・5年次)</t>
    <rPh sb="0" eb="2">
      <t>シリツ</t>
    </rPh>
    <rPh sb="2" eb="4">
      <t>コウトウ</t>
    </rPh>
    <rPh sb="4" eb="6">
      <t>センモン</t>
    </rPh>
    <rPh sb="6" eb="8">
      <t>ガッコウ</t>
    </rPh>
    <rPh sb="12" eb="14">
      <t>ネンジ</t>
    </rPh>
    <phoneticPr fontId="1"/>
  </si>
  <si>
    <t>国公立大学</t>
    <rPh sb="0" eb="3">
      <t>コッコウリツ</t>
    </rPh>
    <rPh sb="3" eb="5">
      <t>ダイガク</t>
    </rPh>
    <phoneticPr fontId="1"/>
  </si>
  <si>
    <t>私立大学</t>
    <rPh sb="0" eb="2">
      <t>シリツ</t>
    </rPh>
    <rPh sb="2" eb="4">
      <t>ダイガク</t>
    </rPh>
    <phoneticPr fontId="1"/>
  </si>
  <si>
    <t>国公立専修学校(高等課程)</t>
    <rPh sb="0" eb="3">
      <t>コッコウリツ</t>
    </rPh>
    <rPh sb="3" eb="5">
      <t>センシュウ</t>
    </rPh>
    <rPh sb="5" eb="7">
      <t>ガッコウ</t>
    </rPh>
    <rPh sb="8" eb="10">
      <t>コウトウ</t>
    </rPh>
    <rPh sb="10" eb="12">
      <t>カテイ</t>
    </rPh>
    <phoneticPr fontId="1"/>
  </si>
  <si>
    <t>私立専修学校(高等課程)</t>
    <rPh sb="0" eb="2">
      <t>シリツ</t>
    </rPh>
    <rPh sb="2" eb="4">
      <t>センシュウ</t>
    </rPh>
    <rPh sb="4" eb="6">
      <t>ガッコウ</t>
    </rPh>
    <rPh sb="7" eb="9">
      <t>コウトウ</t>
    </rPh>
    <rPh sb="9" eb="11">
      <t>カテイ</t>
    </rPh>
    <phoneticPr fontId="1"/>
  </si>
  <si>
    <t>国公立専修学校(専門課程)</t>
    <rPh sb="0" eb="3">
      <t>コッコウリツ</t>
    </rPh>
    <rPh sb="3" eb="5">
      <t>センシュウ</t>
    </rPh>
    <rPh sb="5" eb="7">
      <t>ガッコウ</t>
    </rPh>
    <rPh sb="8" eb="10">
      <t>センモン</t>
    </rPh>
    <rPh sb="10" eb="12">
      <t>カテイ</t>
    </rPh>
    <phoneticPr fontId="1"/>
  </si>
  <si>
    <t>私立専修学校(専門課程)</t>
    <rPh sb="0" eb="2">
      <t>シリツ</t>
    </rPh>
    <rPh sb="2" eb="4">
      <t>センシュウ</t>
    </rPh>
    <rPh sb="4" eb="6">
      <t>ガッコウ</t>
    </rPh>
    <rPh sb="7" eb="9">
      <t>センモン</t>
    </rPh>
    <rPh sb="9" eb="11">
      <t>カテイ</t>
    </rPh>
    <phoneticPr fontId="1"/>
  </si>
  <si>
    <t>母子・父子家庭</t>
    <rPh sb="0" eb="2">
      <t>ボシ</t>
    </rPh>
    <rPh sb="3" eb="5">
      <t>フシ</t>
    </rPh>
    <rPh sb="5" eb="7">
      <t>カテイ</t>
    </rPh>
    <phoneticPr fontId="1"/>
  </si>
  <si>
    <t>障がい者の人数</t>
    <rPh sb="0" eb="1">
      <t>ショウ</t>
    </rPh>
    <rPh sb="3" eb="4">
      <t>シャ</t>
    </rPh>
    <rPh sb="5" eb="7">
      <t>ニンズウ</t>
    </rPh>
    <phoneticPr fontId="1"/>
  </si>
  <si>
    <t>長期療養者へ支出する年間金額</t>
    <rPh sb="0" eb="2">
      <t>チョウキ</t>
    </rPh>
    <rPh sb="2" eb="5">
      <t>リョウヨウシャ</t>
    </rPh>
    <rPh sb="6" eb="8">
      <t>シシュツ</t>
    </rPh>
    <rPh sb="10" eb="12">
      <t>ネンカン</t>
    </rPh>
    <rPh sb="12" eb="14">
      <t>キンガク</t>
    </rPh>
    <phoneticPr fontId="1"/>
  </si>
  <si>
    <t>別居のため支出する年間金額</t>
    <rPh sb="0" eb="2">
      <t>ベッキョ</t>
    </rPh>
    <rPh sb="5" eb="7">
      <t>シシュツ</t>
    </rPh>
    <rPh sb="9" eb="11">
      <t>ネンカン</t>
    </rPh>
    <rPh sb="11" eb="13">
      <t>キンガク</t>
    </rPh>
    <phoneticPr fontId="1"/>
  </si>
  <si>
    <t>火災・盗難等の被害による年間金額</t>
    <rPh sb="0" eb="2">
      <t>カサイ</t>
    </rPh>
    <rPh sb="3" eb="5">
      <t>トウナン</t>
    </rPh>
    <rPh sb="5" eb="6">
      <t>トウ</t>
    </rPh>
    <rPh sb="7" eb="9">
      <t>ヒガイ</t>
    </rPh>
    <rPh sb="12" eb="14">
      <t>ネンカン</t>
    </rPh>
    <rPh sb="14" eb="16">
      <t>キンガク</t>
    </rPh>
    <phoneticPr fontId="1"/>
  </si>
  <si>
    <t>本人控除</t>
    <rPh sb="0" eb="2">
      <t>ホンニン</t>
    </rPh>
    <rPh sb="2" eb="4">
      <t>コウジョ</t>
    </rPh>
    <phoneticPr fontId="1"/>
  </si>
  <si>
    <t>特別控除額一覧</t>
    <rPh sb="0" eb="2">
      <t>トクベツ</t>
    </rPh>
    <rPh sb="2" eb="4">
      <t>コウジョ</t>
    </rPh>
    <rPh sb="4" eb="5">
      <t>ガク</t>
    </rPh>
    <rPh sb="5" eb="7">
      <t>イチラン</t>
    </rPh>
    <phoneticPr fontId="1"/>
  </si>
  <si>
    <t>控除額</t>
    <rPh sb="0" eb="2">
      <t>コウジョ</t>
    </rPh>
    <rPh sb="2" eb="3">
      <t>ガク</t>
    </rPh>
    <phoneticPr fontId="1"/>
  </si>
  <si>
    <t>特別控除額合計</t>
    <rPh sb="0" eb="2">
      <t>トクベツ</t>
    </rPh>
    <rPh sb="2" eb="4">
      <t>コウジョ</t>
    </rPh>
    <rPh sb="4" eb="5">
      <t>ガク</t>
    </rPh>
    <rPh sb="5" eb="7">
      <t>ゴウケイ</t>
    </rPh>
    <phoneticPr fontId="1"/>
  </si>
  <si>
    <t>高校奨学生</t>
    <rPh sb="0" eb="2">
      <t>コウコウ</t>
    </rPh>
    <rPh sb="2" eb="5">
      <t>ショウガクセイ</t>
    </rPh>
    <phoneticPr fontId="1"/>
  </si>
  <si>
    <t>大学奨学生</t>
    <rPh sb="0" eb="2">
      <t>ダイガク</t>
    </rPh>
    <rPh sb="2" eb="5">
      <t>ショウガクセイ</t>
    </rPh>
    <phoneticPr fontId="1"/>
  </si>
  <si>
    <t>認定所得金額</t>
    <rPh sb="0" eb="2">
      <t>ニンテイ</t>
    </rPh>
    <rPh sb="2" eb="4">
      <t>ショトク</t>
    </rPh>
    <rPh sb="4" eb="6">
      <t>キンガク</t>
    </rPh>
    <phoneticPr fontId="1"/>
  </si>
  <si>
    <t>給与所得者における認定所得金額の計算</t>
    <rPh sb="0" eb="2">
      <t>キュウヨ</t>
    </rPh>
    <rPh sb="2" eb="4">
      <t>ショトク</t>
    </rPh>
    <rPh sb="4" eb="5">
      <t>シャ</t>
    </rPh>
    <rPh sb="9" eb="11">
      <t>ニンテイ</t>
    </rPh>
    <rPh sb="11" eb="13">
      <t>ショトク</t>
    </rPh>
    <rPh sb="13" eb="15">
      <t>キンガク</t>
    </rPh>
    <rPh sb="16" eb="18">
      <t>ケイサン</t>
    </rPh>
    <phoneticPr fontId="1"/>
  </si>
  <si>
    <t>世帯人数</t>
    <rPh sb="0" eb="2">
      <t>セタイ</t>
    </rPh>
    <rPh sb="2" eb="4">
      <t>ニンズウ</t>
    </rPh>
    <phoneticPr fontId="1"/>
  </si>
  <si>
    <t>高等学校</t>
    <rPh sb="0" eb="2">
      <t>コウトウ</t>
    </rPh>
    <rPh sb="2" eb="4">
      <t>ガッコウ</t>
    </rPh>
    <phoneticPr fontId="1"/>
  </si>
  <si>
    <t>大学等</t>
    <rPh sb="0" eb="2">
      <t>ダイガク</t>
    </rPh>
    <rPh sb="2" eb="3">
      <t>トウ</t>
    </rPh>
    <phoneticPr fontId="1"/>
  </si>
  <si>
    <t>収入基準表</t>
    <rPh sb="0" eb="2">
      <t>シュウニュウ</t>
    </rPh>
    <rPh sb="2" eb="4">
      <t>キジュン</t>
    </rPh>
    <rPh sb="4" eb="5">
      <t>ヒョウ</t>
    </rPh>
    <phoneticPr fontId="1"/>
  </si>
  <si>
    <t>世帯の人数を入力してください</t>
    <rPh sb="0" eb="2">
      <t>セタイ</t>
    </rPh>
    <rPh sb="3" eb="5">
      <t>ニンズウ</t>
    </rPh>
    <rPh sb="6" eb="8">
      <t>ニュウリョク</t>
    </rPh>
    <phoneticPr fontId="1"/>
  </si>
  <si>
    <t>人</t>
    <rPh sb="0" eb="1">
      <t>ヒト</t>
    </rPh>
    <phoneticPr fontId="1"/>
  </si>
  <si>
    <t>奨学金の種別を選択してください</t>
    <rPh sb="0" eb="3">
      <t>ショウガクキン</t>
    </rPh>
    <rPh sb="4" eb="6">
      <t>シュベツ</t>
    </rPh>
    <rPh sb="7" eb="9">
      <t>センタク</t>
    </rPh>
    <phoneticPr fontId="1"/>
  </si>
  <si>
    <t>円</t>
    <rPh sb="0" eb="1">
      <t>エン</t>
    </rPh>
    <phoneticPr fontId="1"/>
  </si>
  <si>
    <t>特別控除の入力</t>
    <rPh sb="0" eb="2">
      <t>トクベツ</t>
    </rPh>
    <rPh sb="2" eb="4">
      <t>コウジョ</t>
    </rPh>
    <rPh sb="5" eb="7">
      <t>ニュウリョク</t>
    </rPh>
    <phoneticPr fontId="1"/>
  </si>
  <si>
    <t>その他の控除</t>
    <rPh sb="2" eb="3">
      <t>タ</t>
    </rPh>
    <rPh sb="4" eb="6">
      <t>コウジョ</t>
    </rPh>
    <phoneticPr fontId="1"/>
  </si>
  <si>
    <t>世帯員の中の障がい者の人数</t>
    <rPh sb="0" eb="2">
      <t>セタイ</t>
    </rPh>
    <rPh sb="2" eb="3">
      <t>イン</t>
    </rPh>
    <rPh sb="4" eb="5">
      <t>ナカ</t>
    </rPh>
    <rPh sb="6" eb="7">
      <t>ショウ</t>
    </rPh>
    <rPh sb="9" eb="10">
      <t>シャ</t>
    </rPh>
    <rPh sb="11" eb="13">
      <t>ニンズウ</t>
    </rPh>
    <phoneticPr fontId="1"/>
  </si>
  <si>
    <t>世帯員の就学先</t>
    <rPh sb="0" eb="3">
      <t>セタイイン</t>
    </rPh>
    <rPh sb="4" eb="6">
      <t>シュウガク</t>
    </rPh>
    <rPh sb="6" eb="7">
      <t>サキ</t>
    </rPh>
    <phoneticPr fontId="1"/>
  </si>
  <si>
    <t>①世帯合算所得金額</t>
    <rPh sb="1" eb="3">
      <t>セタイ</t>
    </rPh>
    <rPh sb="3" eb="5">
      <t>ガッサン</t>
    </rPh>
    <rPh sb="5" eb="7">
      <t>ショトク</t>
    </rPh>
    <rPh sb="7" eb="9">
      <t>キンガク</t>
    </rPh>
    <phoneticPr fontId="1"/>
  </si>
  <si>
    <t>②特別控除合計額</t>
    <rPh sb="1" eb="3">
      <t>トクベツ</t>
    </rPh>
    <rPh sb="3" eb="5">
      <t>コウジョ</t>
    </rPh>
    <rPh sb="5" eb="7">
      <t>ゴウケイ</t>
    </rPh>
    <rPh sb="7" eb="8">
      <t>ガク</t>
    </rPh>
    <phoneticPr fontId="1"/>
  </si>
  <si>
    <t>認定所得金額（①－②）</t>
    <rPh sb="0" eb="2">
      <t>ニンテイ</t>
    </rPh>
    <rPh sb="2" eb="4">
      <t>ショトク</t>
    </rPh>
    <rPh sb="4" eb="6">
      <t>キンガク</t>
    </rPh>
    <phoneticPr fontId="1"/>
  </si>
  <si>
    <t>基準額</t>
    <rPh sb="0" eb="2">
      <t>キジュン</t>
    </rPh>
    <rPh sb="2" eb="3">
      <t>ガク</t>
    </rPh>
    <phoneticPr fontId="1"/>
  </si>
  <si>
    <t>大学等奨学金</t>
  </si>
  <si>
    <t>認定所得金額が基準額を</t>
    <rPh sb="0" eb="2">
      <t>ニンテイ</t>
    </rPh>
    <rPh sb="2" eb="4">
      <t>ショトク</t>
    </rPh>
    <rPh sb="4" eb="6">
      <t>キンガク</t>
    </rPh>
    <rPh sb="7" eb="9">
      <t>キジュン</t>
    </rPh>
    <rPh sb="9" eb="10">
      <t>ガク</t>
    </rPh>
    <phoneticPr fontId="1"/>
  </si>
  <si>
    <t>収入条件を</t>
    <rPh sb="0" eb="2">
      <t>シュウニュウ</t>
    </rPh>
    <rPh sb="2" eb="4">
      <t>ジョウケン</t>
    </rPh>
    <phoneticPr fontId="1"/>
  </si>
  <si>
    <t>世帯の人数</t>
    <rPh sb="0" eb="2">
      <t>セタイ</t>
    </rPh>
    <rPh sb="3" eb="5">
      <t>ニンズウ</t>
    </rPh>
    <phoneticPr fontId="1"/>
  </si>
  <si>
    <t>人</t>
    <rPh sb="0" eb="1">
      <t>ニン</t>
    </rPh>
    <phoneticPr fontId="1"/>
  </si>
  <si>
    <t>うち子どもの人数(奨学生本人含む)</t>
    <rPh sb="2" eb="3">
      <t>コ</t>
    </rPh>
    <rPh sb="6" eb="8">
      <t>ニンズウ</t>
    </rPh>
    <rPh sb="9" eb="12">
      <t>ショウガクセイ</t>
    </rPh>
    <rPh sb="12" eb="14">
      <t>ホンニン</t>
    </rPh>
    <rPh sb="14" eb="15">
      <t>ガン</t>
    </rPh>
    <phoneticPr fontId="1"/>
  </si>
  <si>
    <t>就学者控除の特例</t>
    <rPh sb="0" eb="3">
      <t>シュウガクシャ</t>
    </rPh>
    <rPh sb="3" eb="5">
      <t>コウジョ</t>
    </rPh>
    <rPh sb="6" eb="8">
      <t>トクレイ</t>
    </rPh>
    <phoneticPr fontId="1"/>
  </si>
  <si>
    <t>子どもの人数</t>
    <rPh sb="0" eb="1">
      <t>コ</t>
    </rPh>
    <rPh sb="4" eb="6">
      <t>ニンズウ</t>
    </rPh>
    <phoneticPr fontId="1"/>
  </si>
  <si>
    <t>その他</t>
    <rPh sb="2" eb="3">
      <t>タ</t>
    </rPh>
    <phoneticPr fontId="1"/>
  </si>
  <si>
    <t>該当しない</t>
  </si>
  <si>
    <t>以上</t>
    <rPh sb="0" eb="2">
      <t>イジョウ</t>
    </rPh>
    <phoneticPr fontId="1"/>
  </si>
  <si>
    <t>収入条件の判定シート</t>
    <rPh sb="0" eb="2">
      <t>シュウニュウ</t>
    </rPh>
    <rPh sb="2" eb="4">
      <t>ジョウケン</t>
    </rPh>
    <rPh sb="5" eb="7">
      <t>ハンテイ</t>
    </rPh>
    <phoneticPr fontId="1"/>
  </si>
  <si>
    <t>世帯員の中の就学者の人数を入力してください（奨学生本人は含めません）</t>
    <rPh sb="0" eb="3">
      <t>セタイイン</t>
    </rPh>
    <rPh sb="4" eb="5">
      <t>チュウ</t>
    </rPh>
    <rPh sb="6" eb="8">
      <t>シュウガク</t>
    </rPh>
    <rPh sb="8" eb="9">
      <t>シャ</t>
    </rPh>
    <rPh sb="10" eb="12">
      <t>ニンズウ</t>
    </rPh>
    <rPh sb="13" eb="15">
      <t>ニュウリョク</t>
    </rPh>
    <rPh sb="22" eb="25">
      <t>ショウガクセイ</t>
    </rPh>
    <rPh sb="25" eb="27">
      <t>ホンニン</t>
    </rPh>
    <rPh sb="28" eb="29">
      <t>フク</t>
    </rPh>
    <phoneticPr fontId="1"/>
  </si>
  <si>
    <t>別居のため支出する年間金額（上限71万円)</t>
    <rPh sb="0" eb="2">
      <t>ベッキョ</t>
    </rPh>
    <rPh sb="5" eb="7">
      <t>シシュツ</t>
    </rPh>
    <rPh sb="9" eb="11">
      <t>ネンカン</t>
    </rPh>
    <rPh sb="11" eb="13">
      <t>キンガク</t>
    </rPh>
    <rPh sb="14" eb="16">
      <t>ジョウゲン</t>
    </rPh>
    <rPh sb="19" eb="20">
      <t>エン</t>
    </rPh>
    <phoneticPr fontId="1"/>
  </si>
  <si>
    <t>プルダウンから選択</t>
    <rPh sb="7" eb="9">
      <t>センタク</t>
    </rPh>
    <phoneticPr fontId="1"/>
  </si>
  <si>
    <t>人数または金額を入力</t>
    <rPh sb="0" eb="2">
      <t>ニンズウ</t>
    </rPh>
    <rPh sb="5" eb="7">
      <t>キンガク</t>
    </rPh>
    <rPh sb="8" eb="10">
      <t>ニュウリョク</t>
    </rPh>
    <phoneticPr fontId="1"/>
  </si>
  <si>
    <t>※世帯内で収入が多い順に入力</t>
    <rPh sb="1" eb="3">
      <t>セタイ</t>
    </rPh>
    <rPh sb="3" eb="4">
      <t>ナイ</t>
    </rPh>
    <rPh sb="5" eb="7">
      <t>シュウニュウ</t>
    </rPh>
    <rPh sb="8" eb="9">
      <t>オオ</t>
    </rPh>
    <rPh sb="10" eb="11">
      <t>ジュン</t>
    </rPh>
    <rPh sb="12" eb="14">
      <t>ニュウリョク</t>
    </rPh>
    <phoneticPr fontId="1"/>
  </si>
  <si>
    <t>２６７万円以下</t>
    <rPh sb="3" eb="5">
      <t>マンエン</t>
    </rPh>
    <rPh sb="5" eb="7">
      <t>イカ</t>
    </rPh>
    <phoneticPr fontId="1"/>
  </si>
  <si>
    <t>２６８万円以上４００万円以下</t>
    <rPh sb="3" eb="4">
      <t>マン</t>
    </rPh>
    <rPh sb="4" eb="5">
      <t>エン</t>
    </rPh>
    <rPh sb="5" eb="7">
      <t>イジョウ</t>
    </rPh>
    <rPh sb="10" eb="12">
      <t>マンエン</t>
    </rPh>
    <rPh sb="12" eb="14">
      <t>イカ</t>
    </rPh>
    <phoneticPr fontId="1"/>
  </si>
  <si>
    <t>各世帯員の年間収入金額を入力してください（年金収入は除く）</t>
    <rPh sb="0" eb="1">
      <t>カク</t>
    </rPh>
    <rPh sb="1" eb="3">
      <t>セタイ</t>
    </rPh>
    <rPh sb="3" eb="4">
      <t>イン</t>
    </rPh>
    <rPh sb="5" eb="7">
      <t>ネンカン</t>
    </rPh>
    <rPh sb="7" eb="9">
      <t>シュウニュウ</t>
    </rPh>
    <rPh sb="9" eb="11">
      <t>キンガク</t>
    </rPh>
    <rPh sb="10" eb="11">
      <t>ガク</t>
    </rPh>
    <rPh sb="12" eb="14">
      <t>ニュウリョク</t>
    </rPh>
    <rPh sb="21" eb="23">
      <t>ネンキン</t>
    </rPh>
    <rPh sb="23" eb="25">
      <t>シュウニュウ</t>
    </rPh>
    <rPh sb="26" eb="27">
      <t>ノゾ</t>
    </rPh>
    <phoneticPr fontId="1"/>
  </si>
  <si>
    <t>円</t>
    <rPh sb="0" eb="1">
      <t>エン</t>
    </rPh>
    <phoneticPr fontId="1"/>
  </si>
  <si>
    <r>
      <t>　場合は↓に</t>
    </r>
    <r>
      <rPr>
        <b/>
        <sz val="11"/>
        <color theme="1"/>
        <rFont val="ＭＳ Ｐゴシック"/>
        <family val="3"/>
        <charset val="128"/>
        <scheme val="minor"/>
      </rPr>
      <t>所得額</t>
    </r>
    <r>
      <rPr>
        <sz val="11"/>
        <color theme="1"/>
        <rFont val="ＭＳ Ｐゴシック"/>
        <family val="2"/>
        <charset val="128"/>
        <scheme val="minor"/>
      </rPr>
      <t>を入力</t>
    </r>
    <rPh sb="1" eb="3">
      <t>バアイ</t>
    </rPh>
    <rPh sb="6" eb="8">
      <t>ショトク</t>
    </rPh>
    <rPh sb="8" eb="9">
      <t>ガク</t>
    </rPh>
    <rPh sb="10" eb="12">
      <t>ニュウリョク</t>
    </rPh>
    <phoneticPr fontId="1"/>
  </si>
  <si>
    <t>☆農業、不動産、営業所得がある</t>
    <rPh sb="1" eb="3">
      <t>ノウギョウ</t>
    </rPh>
    <rPh sb="4" eb="7">
      <t>フドウサン</t>
    </rPh>
    <rPh sb="8" eb="10">
      <t>エイギョウ</t>
    </rPh>
    <rPh sb="10" eb="12">
      <t>ショトク</t>
    </rPh>
    <phoneticPr fontId="1"/>
  </si>
  <si>
    <t>１人増すごとに
２７万円加算</t>
    <rPh sb="1" eb="2">
      <t>ニン</t>
    </rPh>
    <rPh sb="2" eb="3">
      <t>マ</t>
    </rPh>
    <rPh sb="10" eb="12">
      <t>マンエン</t>
    </rPh>
    <rPh sb="12" eb="14">
      <t>カサン</t>
    </rPh>
    <phoneticPr fontId="1"/>
  </si>
  <si>
    <t>１人増すごとに
２５万円加算</t>
    <rPh sb="1" eb="2">
      <t>ニン</t>
    </rPh>
    <rPh sb="2" eb="3">
      <t>マ</t>
    </rPh>
    <rPh sb="10" eb="12">
      <t>マンエン</t>
    </rPh>
    <rPh sb="12" eb="14">
      <t>カサン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</si>
</sst>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&quot;円&quot;"/>
    <numFmt numFmtId="177" formatCode="#,##0&quot;円&quot;"/>
    <numFmt numFmtId="178" formatCode="#,###"/>
    <numFmt numFmtId="179" formatCode="0&quot;人&quot;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0" fillId="2" borderId="1" xfId="0" applyFill="1" applyBorder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2" fillId="0" borderId="0" xfId="0" applyFont="1" applyBorder="1">
      <alignment vertical="center"/>
    </xf>
    <xf numFmtId="177" fontId="2" fillId="0" borderId="3" xfId="0" applyNumberFormat="1" applyFont="1" applyBorder="1">
      <alignment vertical="center"/>
    </xf>
    <xf numFmtId="177" fontId="2" fillId="2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3" borderId="7" xfId="0" applyFill="1" applyBorder="1">
      <alignment vertical="center"/>
    </xf>
    <xf numFmtId="0" fontId="0" fillId="0" borderId="7" xfId="0" applyBorder="1">
      <alignment vertical="center"/>
    </xf>
    <xf numFmtId="0" fontId="0" fillId="3" borderId="9" xfId="0" applyFill="1" applyBorder="1">
      <alignment vertical="center"/>
    </xf>
    <xf numFmtId="0" fontId="0" fillId="3" borderId="8" xfId="0" applyFill="1" applyBorder="1">
      <alignment vertical="center"/>
    </xf>
    <xf numFmtId="0" fontId="0" fillId="4" borderId="9" xfId="0" applyFill="1" applyBorder="1">
      <alignment vertical="center"/>
    </xf>
    <xf numFmtId="0" fontId="2" fillId="0" borderId="0" xfId="0" applyFont="1">
      <alignment vertical="center"/>
    </xf>
    <xf numFmtId="0" fontId="0" fillId="3" borderId="11" xfId="0" applyFill="1" applyBorder="1">
      <alignment vertical="center"/>
    </xf>
    <xf numFmtId="0" fontId="0" fillId="3" borderId="10" xfId="0" applyFill="1" applyBorder="1">
      <alignment vertical="center"/>
    </xf>
    <xf numFmtId="0" fontId="0" fillId="5" borderId="1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4" borderId="11" xfId="0" applyFill="1" applyBorder="1">
      <alignment vertical="center"/>
    </xf>
    <xf numFmtId="0" fontId="0" fillId="5" borderId="12" xfId="0" applyFill="1" applyBorder="1" applyAlignment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2" fillId="0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177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7" fontId="0" fillId="0" borderId="5" xfId="0" applyNumberFormat="1" applyBorder="1">
      <alignment vertical="center"/>
    </xf>
    <xf numFmtId="0" fontId="5" fillId="0" borderId="18" xfId="0" applyFont="1" applyBorder="1">
      <alignment vertical="center"/>
    </xf>
    <xf numFmtId="0" fontId="6" fillId="0" borderId="18" xfId="0" applyFont="1" applyBorder="1">
      <alignment vertical="center"/>
    </xf>
    <xf numFmtId="0" fontId="5" fillId="0" borderId="32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37" xfId="0" applyFont="1" applyBorder="1">
      <alignment vertical="center"/>
    </xf>
    <xf numFmtId="0" fontId="6" fillId="3" borderId="22" xfId="0" applyFont="1" applyFill="1" applyBorder="1" applyAlignment="1">
      <alignment horizontal="center" vertical="center"/>
    </xf>
    <xf numFmtId="38" fontId="5" fillId="0" borderId="15" xfId="1" applyFont="1" applyBorder="1">
      <alignment vertical="center"/>
    </xf>
    <xf numFmtId="38" fontId="5" fillId="0" borderId="7" xfId="1" applyFont="1" applyBorder="1">
      <alignment vertical="center"/>
    </xf>
    <xf numFmtId="38" fontId="0" fillId="0" borderId="0" xfId="1" applyFont="1">
      <alignment vertical="center"/>
    </xf>
    <xf numFmtId="179" fontId="2" fillId="0" borderId="0" xfId="0" applyNumberFormat="1" applyFont="1" applyFill="1">
      <alignment vertical="center"/>
    </xf>
    <xf numFmtId="38" fontId="5" fillId="7" borderId="19" xfId="1" applyFont="1" applyFill="1" applyBorder="1" applyAlignment="1" applyProtection="1">
      <alignment horizontal="center" vertical="center"/>
      <protection locked="0"/>
    </xf>
    <xf numFmtId="38" fontId="6" fillId="7" borderId="24" xfId="1" applyFont="1" applyFill="1" applyBorder="1" applyAlignment="1" applyProtection="1">
      <alignment horizontal="center" vertical="center"/>
      <protection locked="0"/>
    </xf>
    <xf numFmtId="38" fontId="6" fillId="7" borderId="27" xfId="1" applyFont="1" applyFill="1" applyBorder="1" applyAlignment="1" applyProtection="1">
      <alignment horizontal="center" vertical="center"/>
      <protection locked="0"/>
    </xf>
    <xf numFmtId="0" fontId="5" fillId="7" borderId="9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3" fillId="7" borderId="17" xfId="0" applyFont="1" applyFill="1" applyBorder="1" applyAlignment="1" applyProtection="1">
      <alignment horizontal="center" vertical="center"/>
      <protection locked="0"/>
    </xf>
    <xf numFmtId="0" fontId="10" fillId="7" borderId="1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>
      <alignment vertical="center"/>
    </xf>
    <xf numFmtId="0" fontId="5" fillId="7" borderId="30" xfId="0" applyFont="1" applyFill="1" applyBorder="1" applyAlignment="1" applyProtection="1">
      <alignment horizontal="center" vertical="center"/>
      <protection locked="0"/>
    </xf>
    <xf numFmtId="0" fontId="5" fillId="7" borderId="26" xfId="0" applyFont="1" applyFill="1" applyBorder="1" applyAlignment="1" applyProtection="1">
      <alignment horizontal="center" vertical="center"/>
      <protection locked="0"/>
    </xf>
    <xf numFmtId="0" fontId="5" fillId="7" borderId="31" xfId="0" applyFont="1" applyFill="1" applyBorder="1" applyAlignment="1" applyProtection="1">
      <alignment horizontal="center" vertical="center"/>
      <protection locked="0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0" fillId="0" borderId="51" xfId="0" applyBorder="1">
      <alignment vertical="center"/>
    </xf>
    <xf numFmtId="0" fontId="0" fillId="0" borderId="35" xfId="0" applyBorder="1">
      <alignment vertical="center"/>
    </xf>
    <xf numFmtId="38" fontId="5" fillId="0" borderId="7" xfId="1" applyFont="1" applyFill="1" applyBorder="1">
      <alignment vertical="center"/>
    </xf>
    <xf numFmtId="0" fontId="13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 applyBorder="1" applyProtection="1">
      <alignment vertical="center"/>
    </xf>
    <xf numFmtId="38" fontId="6" fillId="7" borderId="7" xfId="1" applyFont="1" applyFill="1" applyBorder="1" applyAlignment="1" applyProtection="1">
      <alignment horizontal="center" vertical="center"/>
      <protection locked="0"/>
    </xf>
    <xf numFmtId="38" fontId="6" fillId="7" borderId="33" xfId="1" applyFont="1" applyFill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6" borderId="41" xfId="0" applyFont="1" applyFill="1" applyBorder="1" applyAlignment="1" applyProtection="1">
      <alignment horizontal="center" vertical="center"/>
      <protection locked="0"/>
    </xf>
    <xf numFmtId="0" fontId="5" fillId="6" borderId="42" xfId="0" applyFont="1" applyFill="1" applyBorder="1" applyAlignment="1" applyProtection="1">
      <alignment horizontal="center" vertical="center"/>
      <protection locked="0"/>
    </xf>
    <xf numFmtId="0" fontId="5" fillId="6" borderId="43" xfId="0" applyFont="1" applyFill="1" applyBorder="1" applyAlignment="1" applyProtection="1">
      <alignment horizontal="center" vertical="center"/>
      <protection locked="0"/>
    </xf>
    <xf numFmtId="0" fontId="5" fillId="6" borderId="44" xfId="0" applyFont="1" applyFill="1" applyBorder="1" applyAlignment="1" applyProtection="1">
      <alignment horizontal="center" vertical="center"/>
      <protection locked="0"/>
    </xf>
    <xf numFmtId="0" fontId="11" fillId="0" borderId="39" xfId="0" applyFont="1" applyBorder="1" applyAlignment="1">
      <alignment horizontal="left" vertical="center"/>
    </xf>
    <xf numFmtId="0" fontId="11" fillId="0" borderId="4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38" fontId="6" fillId="7" borderId="34" xfId="1" applyFont="1" applyFill="1" applyBorder="1" applyAlignment="1" applyProtection="1">
      <alignment horizontal="center" vertical="center"/>
      <protection locked="0"/>
    </xf>
    <xf numFmtId="38" fontId="6" fillId="7" borderId="35" xfId="1" applyFont="1" applyFill="1" applyBorder="1" applyAlignment="1" applyProtection="1">
      <alignment horizontal="center" vertical="center"/>
      <protection locked="0"/>
    </xf>
    <xf numFmtId="38" fontId="5" fillId="7" borderId="49" xfId="1" applyFont="1" applyFill="1" applyBorder="1" applyAlignment="1" applyProtection="1">
      <alignment horizontal="center" vertical="center"/>
      <protection locked="0"/>
    </xf>
    <xf numFmtId="38" fontId="5" fillId="7" borderId="50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5" fillId="7" borderId="9" xfId="0" applyFont="1" applyFill="1" applyBorder="1" applyAlignment="1" applyProtection="1">
      <alignment horizontal="center" vertical="center"/>
      <protection locked="0"/>
    </xf>
    <xf numFmtId="0" fontId="5" fillId="7" borderId="25" xfId="0" applyFont="1" applyFill="1" applyBorder="1" applyAlignment="1" applyProtection="1">
      <alignment horizontal="center" vertical="center"/>
      <protection locked="0"/>
    </xf>
    <xf numFmtId="0" fontId="6" fillId="6" borderId="7" xfId="0" applyFont="1" applyFill="1" applyBorder="1" applyAlignment="1" applyProtection="1">
      <alignment horizontal="center" vertical="center"/>
      <protection locked="0"/>
    </xf>
    <xf numFmtId="0" fontId="6" fillId="6" borderId="33" xfId="0" applyFont="1" applyFill="1" applyBorder="1" applyAlignment="1" applyProtection="1">
      <alignment horizontal="center" vertical="center"/>
      <protection locked="0"/>
    </xf>
    <xf numFmtId="0" fontId="6" fillId="7" borderId="7" xfId="0" applyFont="1" applyFill="1" applyBorder="1" applyAlignment="1" applyProtection="1">
      <alignment horizontal="center" vertical="center"/>
      <protection locked="0"/>
    </xf>
    <xf numFmtId="0" fontId="6" fillId="7" borderId="33" xfId="0" applyFont="1" applyFill="1" applyBorder="1" applyAlignment="1" applyProtection="1">
      <alignment horizontal="center" vertical="center"/>
      <protection locked="0"/>
    </xf>
    <xf numFmtId="38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8" fontId="5" fillId="7" borderId="27" xfId="1" applyFont="1" applyFill="1" applyBorder="1" applyAlignment="1" applyProtection="1">
      <alignment horizontal="center" vertical="center"/>
      <protection locked="0"/>
    </xf>
    <xf numFmtId="38" fontId="5" fillId="7" borderId="29" xfId="1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/>
    </xf>
    <xf numFmtId="0" fontId="0" fillId="6" borderId="46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10" fillId="0" borderId="38" xfId="0" applyFont="1" applyBorder="1" applyAlignment="1">
      <alignment horizontal="right" vertical="center"/>
    </xf>
    <xf numFmtId="0" fontId="10" fillId="0" borderId="39" xfId="0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177" fontId="0" fillId="0" borderId="4" xfId="0" applyNumberForma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7" fontId="0" fillId="0" borderId="6" xfId="0" applyNumberFormat="1" applyBorder="1" applyAlignment="1">
      <alignment horizontal="right" vertical="center"/>
    </xf>
    <xf numFmtId="0" fontId="0" fillId="5" borderId="7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0" fillId="0" borderId="4" xfId="0" applyNumberFormat="1" applyFont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177" fontId="0" fillId="0" borderId="6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FFCCFF"/>
      <color rgb="FFFFFF66"/>
      <color rgb="FFFFCCCC"/>
      <color rgb="FFFF9999"/>
      <color rgb="FFFF6699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tabSelected="1" view="pageBreakPreview" zoomScale="115" zoomScaleNormal="100" zoomScaleSheetLayoutView="115" workbookViewId="0">
      <selection activeCell="G13" sqref="G13:H13"/>
    </sheetView>
  </sheetViews>
  <sheetFormatPr defaultRowHeight="13.5"/>
  <cols>
    <col min="1" max="1" width="4.125" customWidth="1"/>
    <col min="2" max="2" width="19" customWidth="1"/>
    <col min="3" max="3" width="8.25" customWidth="1"/>
    <col min="4" max="4" width="13" customWidth="1"/>
    <col min="5" max="6" width="11.375" customWidth="1"/>
    <col min="7" max="7" width="6.5" customWidth="1"/>
    <col min="8" max="9" width="7.75" customWidth="1"/>
  </cols>
  <sheetData>
    <row r="1" spans="1:11" ht="35.25" customHeight="1" thickBot="1">
      <c r="A1" s="82" t="s">
        <v>73</v>
      </c>
      <c r="B1" s="82"/>
      <c r="C1" s="82"/>
      <c r="D1" s="82"/>
      <c r="E1" s="82"/>
      <c r="F1" s="82"/>
      <c r="G1" s="82"/>
      <c r="H1" s="82"/>
    </row>
    <row r="2" spans="1:11" ht="21.75" customHeight="1" thickBot="1">
      <c r="B2" s="63" t="s">
        <v>52</v>
      </c>
      <c r="G2" s="105" t="s">
        <v>76</v>
      </c>
      <c r="H2" s="106"/>
      <c r="I2" s="107"/>
      <c r="J2" s="31"/>
      <c r="K2" s="31"/>
    </row>
    <row r="3" spans="1:11" ht="21.75" customHeight="1" thickBot="1">
      <c r="B3" s="76" t="s">
        <v>62</v>
      </c>
      <c r="C3" s="77"/>
      <c r="G3" s="108" t="s">
        <v>77</v>
      </c>
      <c r="H3" s="109"/>
      <c r="I3" s="110"/>
      <c r="J3" s="31"/>
      <c r="K3" s="31"/>
    </row>
    <row r="4" spans="1:11" ht="12" customHeight="1" thickBot="1">
      <c r="B4" s="78"/>
      <c r="C4" s="79"/>
    </row>
    <row r="5" spans="1:11" ht="16.5" customHeight="1">
      <c r="B5" s="38"/>
      <c r="C5" s="39"/>
      <c r="I5" s="59"/>
    </row>
    <row r="6" spans="1:11" ht="21" customHeight="1" thickBot="1">
      <c r="B6" s="63" t="s">
        <v>50</v>
      </c>
      <c r="E6" s="35"/>
    </row>
    <row r="7" spans="1:11" ht="17.25" customHeight="1" thickBot="1">
      <c r="B7" s="115" t="s">
        <v>65</v>
      </c>
      <c r="C7" s="116"/>
      <c r="D7" s="113" t="s">
        <v>67</v>
      </c>
      <c r="E7" s="114"/>
    </row>
    <row r="8" spans="1:11" ht="32.25" customHeight="1" thickBot="1">
      <c r="B8" s="57">
        <v>4</v>
      </c>
      <c r="C8" s="41" t="s">
        <v>51</v>
      </c>
      <c r="D8" s="58">
        <v>2</v>
      </c>
      <c r="E8" s="42" t="s">
        <v>66</v>
      </c>
    </row>
    <row r="9" spans="1:11" ht="15" customHeight="1">
      <c r="B9" s="36"/>
      <c r="C9" s="35"/>
      <c r="D9" s="36"/>
      <c r="E9" s="35"/>
    </row>
    <row r="10" spans="1:11" ht="24.75" customHeight="1" thickBot="1">
      <c r="B10" s="68" t="s">
        <v>81</v>
      </c>
      <c r="C10" s="69"/>
      <c r="D10" s="69"/>
      <c r="E10" s="69"/>
      <c r="F10" s="70"/>
      <c r="G10" s="104" t="s">
        <v>84</v>
      </c>
      <c r="H10" s="104"/>
      <c r="I10" s="104"/>
      <c r="J10" s="104"/>
    </row>
    <row r="11" spans="1:11" ht="18" customHeight="1" thickBot="1">
      <c r="A11">
        <v>1</v>
      </c>
      <c r="B11" s="51">
        <v>0</v>
      </c>
      <c r="C11" s="43" t="s">
        <v>53</v>
      </c>
      <c r="D11" s="35" t="s">
        <v>78</v>
      </c>
      <c r="F11" s="30"/>
      <c r="G11" s="31" t="s">
        <v>83</v>
      </c>
      <c r="H11" s="31"/>
      <c r="I11" s="35"/>
    </row>
    <row r="12" spans="1:11" ht="18" customHeight="1">
      <c r="A12">
        <v>2</v>
      </c>
      <c r="B12" s="52">
        <v>0</v>
      </c>
      <c r="C12" s="44" t="s">
        <v>53</v>
      </c>
      <c r="D12" s="35"/>
      <c r="F12" s="30"/>
      <c r="G12" s="85">
        <v>0</v>
      </c>
      <c r="H12" s="86"/>
      <c r="I12" s="65" t="s">
        <v>82</v>
      </c>
    </row>
    <row r="13" spans="1:11" ht="18" customHeight="1" thickBot="1">
      <c r="A13">
        <v>3</v>
      </c>
      <c r="B13" s="52">
        <v>0</v>
      </c>
      <c r="C13" s="44" t="s">
        <v>53</v>
      </c>
      <c r="D13" s="35"/>
      <c r="F13" s="30"/>
      <c r="G13" s="102"/>
      <c r="H13" s="103"/>
      <c r="I13" s="66" t="s">
        <v>82</v>
      </c>
    </row>
    <row r="14" spans="1:11" ht="18" customHeight="1">
      <c r="A14">
        <v>4</v>
      </c>
      <c r="B14" s="52">
        <v>0</v>
      </c>
      <c r="C14" s="44" t="s">
        <v>53</v>
      </c>
      <c r="D14" s="35"/>
      <c r="F14" s="30"/>
      <c r="G14" s="30"/>
      <c r="H14" s="30"/>
    </row>
    <row r="15" spans="1:11" ht="18" customHeight="1">
      <c r="A15">
        <v>5</v>
      </c>
      <c r="B15" s="52">
        <v>0</v>
      </c>
      <c r="C15" s="44" t="s">
        <v>53</v>
      </c>
      <c r="D15" s="35"/>
      <c r="E15" s="117" t="s">
        <v>58</v>
      </c>
      <c r="F15" s="118"/>
      <c r="G15" s="30"/>
      <c r="H15" s="30"/>
    </row>
    <row r="16" spans="1:11" ht="18" customHeight="1" thickBot="1">
      <c r="A16">
        <v>6</v>
      </c>
      <c r="B16" s="53">
        <v>0</v>
      </c>
      <c r="C16" s="45" t="s">
        <v>53</v>
      </c>
      <c r="D16" s="35"/>
      <c r="E16" s="94">
        <f>計算シート!C7+G12+G13</f>
        <v>0</v>
      </c>
      <c r="F16" s="95"/>
      <c r="G16" s="30"/>
      <c r="H16" s="30"/>
    </row>
    <row r="17" spans="2:8">
      <c r="B17" s="35"/>
      <c r="C17" s="35"/>
      <c r="D17" s="35"/>
      <c r="F17" s="30"/>
      <c r="G17" s="30"/>
      <c r="H17" s="30"/>
    </row>
    <row r="18" spans="2:8" ht="23.25" customHeight="1">
      <c r="B18" s="64" t="s">
        <v>54</v>
      </c>
      <c r="C18" s="35"/>
      <c r="D18" s="35"/>
      <c r="F18" s="30"/>
      <c r="G18" s="30"/>
      <c r="H18" s="30"/>
    </row>
    <row r="19" spans="2:8" ht="22.5" customHeight="1" thickBot="1">
      <c r="B19" t="s">
        <v>74</v>
      </c>
      <c r="F19" s="30"/>
      <c r="G19" s="30"/>
      <c r="H19" s="30"/>
    </row>
    <row r="20" spans="2:8" ht="16.5" customHeight="1">
      <c r="B20" s="124" t="s">
        <v>57</v>
      </c>
      <c r="C20" s="125"/>
      <c r="D20" s="126"/>
      <c r="E20" s="46" t="s">
        <v>17</v>
      </c>
      <c r="F20" s="55" t="s">
        <v>16</v>
      </c>
      <c r="G20" s="30"/>
      <c r="H20" s="30"/>
    </row>
    <row r="21" spans="2:8" ht="16.5" customHeight="1">
      <c r="B21" s="73" t="s">
        <v>18</v>
      </c>
      <c r="C21" s="74"/>
      <c r="D21" s="75"/>
      <c r="E21" s="88"/>
      <c r="F21" s="89"/>
      <c r="G21" s="30"/>
      <c r="H21" s="30"/>
    </row>
    <row r="22" spans="2:8" ht="16.5" customHeight="1">
      <c r="B22" s="73" t="s">
        <v>19</v>
      </c>
      <c r="C22" s="74"/>
      <c r="D22" s="75"/>
      <c r="E22" s="88"/>
      <c r="F22" s="89"/>
      <c r="G22" s="30"/>
      <c r="H22" s="30"/>
    </row>
    <row r="23" spans="2:8" ht="16.5" customHeight="1">
      <c r="B23" s="73" t="s">
        <v>22</v>
      </c>
      <c r="C23" s="74"/>
      <c r="D23" s="75"/>
      <c r="E23" s="54"/>
      <c r="F23" s="61"/>
      <c r="G23" s="30"/>
      <c r="H23" s="30"/>
    </row>
    <row r="24" spans="2:8" ht="16.5" customHeight="1">
      <c r="B24" s="73" t="s">
        <v>20</v>
      </c>
      <c r="C24" s="74"/>
      <c r="D24" s="75"/>
      <c r="E24" s="54"/>
      <c r="F24" s="61"/>
      <c r="G24" s="30"/>
      <c r="H24" s="30"/>
    </row>
    <row r="25" spans="2:8" ht="16.5" customHeight="1">
      <c r="B25" s="73" t="s">
        <v>23</v>
      </c>
      <c r="C25" s="74"/>
      <c r="D25" s="75"/>
      <c r="E25" s="54"/>
      <c r="F25" s="61"/>
      <c r="G25" s="30"/>
      <c r="H25" s="30"/>
    </row>
    <row r="26" spans="2:8" ht="16.5" customHeight="1">
      <c r="B26" s="73" t="s">
        <v>24</v>
      </c>
      <c r="C26" s="74"/>
      <c r="D26" s="75"/>
      <c r="E26" s="54"/>
      <c r="F26" s="61"/>
      <c r="G26" s="30"/>
      <c r="H26" s="30"/>
    </row>
    <row r="27" spans="2:8" ht="16.5" customHeight="1">
      <c r="B27" s="73" t="s">
        <v>25</v>
      </c>
      <c r="C27" s="74"/>
      <c r="D27" s="75"/>
      <c r="E27" s="54"/>
      <c r="F27" s="61"/>
      <c r="G27" s="31"/>
      <c r="H27" s="31"/>
    </row>
    <row r="28" spans="2:8" ht="16.5" customHeight="1">
      <c r="B28" s="73" t="s">
        <v>26</v>
      </c>
      <c r="C28" s="74"/>
      <c r="D28" s="75"/>
      <c r="E28" s="54"/>
      <c r="F28" s="61"/>
      <c r="G28" s="87"/>
      <c r="H28" s="87"/>
    </row>
    <row r="29" spans="2:8" ht="16.5" customHeight="1">
      <c r="B29" s="73" t="s">
        <v>27</v>
      </c>
      <c r="C29" s="74"/>
      <c r="D29" s="75"/>
      <c r="E29" s="54"/>
      <c r="F29" s="61"/>
      <c r="G29" s="87"/>
      <c r="H29" s="87"/>
    </row>
    <row r="30" spans="2:8" ht="16.5" customHeight="1">
      <c r="B30" s="73" t="s">
        <v>28</v>
      </c>
      <c r="C30" s="74"/>
      <c r="D30" s="75"/>
      <c r="E30" s="54"/>
      <c r="F30" s="61"/>
      <c r="G30" s="87"/>
      <c r="H30" s="87"/>
    </row>
    <row r="31" spans="2:8" ht="16.5" customHeight="1">
      <c r="B31" s="73" t="s">
        <v>29</v>
      </c>
      <c r="C31" s="74"/>
      <c r="D31" s="75"/>
      <c r="E31" s="54"/>
      <c r="F31" s="61"/>
      <c r="G31" s="87"/>
      <c r="H31" s="87"/>
    </row>
    <row r="32" spans="2:8" ht="16.5" customHeight="1">
      <c r="B32" s="73" t="s">
        <v>30</v>
      </c>
      <c r="C32" s="74"/>
      <c r="D32" s="75"/>
      <c r="E32" s="54"/>
      <c r="F32" s="61"/>
      <c r="G32" s="87"/>
      <c r="H32" s="87"/>
    </row>
    <row r="33" spans="2:8" ht="16.5" customHeight="1">
      <c r="B33" s="73" t="s">
        <v>31</v>
      </c>
      <c r="C33" s="74"/>
      <c r="D33" s="75"/>
      <c r="E33" s="54"/>
      <c r="F33" s="61"/>
      <c r="G33" s="32"/>
      <c r="H33" s="32"/>
    </row>
    <row r="34" spans="2:8" ht="16.5" customHeight="1" thickBot="1">
      <c r="B34" s="99" t="s">
        <v>32</v>
      </c>
      <c r="C34" s="100"/>
      <c r="D34" s="101"/>
      <c r="E34" s="60"/>
      <c r="F34" s="62"/>
      <c r="G34" s="32"/>
      <c r="H34" s="32"/>
    </row>
    <row r="35" spans="2:8" ht="14.25" thickBot="1">
      <c r="B35" s="36"/>
      <c r="C35" s="36"/>
      <c r="D35" s="36"/>
      <c r="E35" s="30"/>
      <c r="F35" s="30"/>
      <c r="G35" s="32"/>
      <c r="H35" s="32"/>
    </row>
    <row r="36" spans="2:8" ht="16.5" customHeight="1">
      <c r="B36" s="124" t="s">
        <v>55</v>
      </c>
      <c r="C36" s="125"/>
      <c r="D36" s="126"/>
      <c r="E36" s="127"/>
      <c r="F36" s="128"/>
      <c r="G36" s="32"/>
      <c r="H36" s="32"/>
    </row>
    <row r="37" spans="2:8" ht="16.5" customHeight="1">
      <c r="B37" s="98" t="s">
        <v>33</v>
      </c>
      <c r="C37" s="74"/>
      <c r="D37" s="75"/>
      <c r="E37" s="90" t="s">
        <v>71</v>
      </c>
      <c r="F37" s="91"/>
    </row>
    <row r="38" spans="2:8" ht="16.5" customHeight="1">
      <c r="B38" s="98" t="s">
        <v>56</v>
      </c>
      <c r="C38" s="74"/>
      <c r="D38" s="75"/>
      <c r="E38" s="92"/>
      <c r="F38" s="93"/>
    </row>
    <row r="39" spans="2:8" ht="16.5" customHeight="1">
      <c r="B39" s="98" t="s">
        <v>35</v>
      </c>
      <c r="C39" s="74"/>
      <c r="D39" s="75"/>
      <c r="E39" s="71"/>
      <c r="F39" s="72"/>
    </row>
    <row r="40" spans="2:8" ht="16.5" customHeight="1">
      <c r="B40" s="98" t="s">
        <v>75</v>
      </c>
      <c r="C40" s="74"/>
      <c r="D40" s="75"/>
      <c r="E40" s="71"/>
      <c r="F40" s="72"/>
    </row>
    <row r="41" spans="2:8" ht="16.5" customHeight="1" thickBot="1">
      <c r="B41" s="99" t="s">
        <v>37</v>
      </c>
      <c r="C41" s="100"/>
      <c r="D41" s="101"/>
      <c r="E41" s="83"/>
      <c r="F41" s="84"/>
    </row>
    <row r="43" spans="2:8" ht="20.25" customHeight="1">
      <c r="E43" s="97" t="s">
        <v>59</v>
      </c>
      <c r="F43" s="97"/>
    </row>
    <row r="44" spans="2:8" ht="20.25" customHeight="1">
      <c r="E44" s="96">
        <f>計算シート!I7</f>
        <v>740000</v>
      </c>
      <c r="F44" s="96"/>
    </row>
    <row r="45" spans="2:8" ht="6" customHeight="1">
      <c r="E45" s="36"/>
      <c r="F45" s="36"/>
    </row>
    <row r="46" spans="2:8" ht="6" customHeight="1">
      <c r="B46" s="37"/>
    </row>
    <row r="47" spans="2:8" ht="19.5" customHeight="1">
      <c r="B47" s="119" t="s">
        <v>61</v>
      </c>
      <c r="C47" s="119"/>
      <c r="D47" s="123"/>
      <c r="E47" s="119" t="s">
        <v>60</v>
      </c>
      <c r="F47" s="119"/>
    </row>
    <row r="48" spans="2:8" ht="22.5" customHeight="1">
      <c r="B48" s="120">
        <f>IF(B3="高等学校奨学金",VLOOKUP(B8,認定所得金額!A3:C10,2),VLOOKUP(B8,認定所得金額!A3:C10,3))</f>
        <v>5720000</v>
      </c>
      <c r="C48" s="120"/>
      <c r="D48" s="123"/>
      <c r="E48" s="121">
        <f>E16-E44</f>
        <v>-740000</v>
      </c>
      <c r="F48" s="122"/>
    </row>
    <row r="49" spans="2:7" ht="14.25" thickBot="1"/>
    <row r="50" spans="2:7" ht="33" customHeight="1" thickBot="1">
      <c r="B50" s="111" t="s">
        <v>63</v>
      </c>
      <c r="C50" s="112"/>
      <c r="D50" s="56" t="str">
        <f>IF(B48&gt;E48,"下回るため","上回るため")</f>
        <v>下回るため</v>
      </c>
      <c r="E50" s="56" t="s">
        <v>64</v>
      </c>
      <c r="F50" s="80" t="str">
        <f>IF(B48&gt;E48,"満たしています","満たしません")</f>
        <v>満たしています</v>
      </c>
      <c r="G50" s="81"/>
    </row>
  </sheetData>
  <sheetProtection algorithmName="SHA-512" hashValue="398IihLl1O/CC+OZXwr82m/r2sx31dl+/KrlcgTC5ZmzK3Sno37nZq1363rchLlPmTuJtQhd+O5EqQCFdTHEYQ==" saltValue="AgaDbxlp2AlALquFWgvVYg==" spinCount="100000" sheet="1" objects="1" scenarios="1"/>
  <mergeCells count="54">
    <mergeCell ref="G13:H13"/>
    <mergeCell ref="G10:J10"/>
    <mergeCell ref="G2:I2"/>
    <mergeCell ref="G3:I3"/>
    <mergeCell ref="B50:C50"/>
    <mergeCell ref="D7:E7"/>
    <mergeCell ref="B7:C7"/>
    <mergeCell ref="E15:F15"/>
    <mergeCell ref="B47:C47"/>
    <mergeCell ref="B48:C48"/>
    <mergeCell ref="E47:F47"/>
    <mergeCell ref="E48:F48"/>
    <mergeCell ref="D47:D48"/>
    <mergeCell ref="B36:D36"/>
    <mergeCell ref="B20:D20"/>
    <mergeCell ref="E36:F36"/>
    <mergeCell ref="B22:D22"/>
    <mergeCell ref="E16:F16"/>
    <mergeCell ref="E44:F44"/>
    <mergeCell ref="E43:F43"/>
    <mergeCell ref="B38:D38"/>
    <mergeCell ref="B37:D37"/>
    <mergeCell ref="B41:D41"/>
    <mergeCell ref="B40:D40"/>
    <mergeCell ref="B39:D39"/>
    <mergeCell ref="B27:D27"/>
    <mergeCell ref="B26:D26"/>
    <mergeCell ref="B25:D25"/>
    <mergeCell ref="B34:D34"/>
    <mergeCell ref="B33:D33"/>
    <mergeCell ref="B32:D32"/>
    <mergeCell ref="B31:D31"/>
    <mergeCell ref="E39:F39"/>
    <mergeCell ref="B29:D29"/>
    <mergeCell ref="B28:D28"/>
    <mergeCell ref="B24:D24"/>
    <mergeCell ref="B23:D23"/>
    <mergeCell ref="B30:D30"/>
    <mergeCell ref="E40:F40"/>
    <mergeCell ref="B21:D21"/>
    <mergeCell ref="B3:C4"/>
    <mergeCell ref="F50:G50"/>
    <mergeCell ref="A1:H1"/>
    <mergeCell ref="E41:F41"/>
    <mergeCell ref="G12:H12"/>
    <mergeCell ref="G28:H28"/>
    <mergeCell ref="G29:H29"/>
    <mergeCell ref="G30:H30"/>
    <mergeCell ref="G31:H31"/>
    <mergeCell ref="G32:H32"/>
    <mergeCell ref="E21:F21"/>
    <mergeCell ref="E22:F22"/>
    <mergeCell ref="E37:F37"/>
    <mergeCell ref="E38:F38"/>
  </mergeCells>
  <phoneticPr fontId="1"/>
  <dataValidations count="2">
    <dataValidation type="list" allowBlank="1" showInputMessage="1" showErrorMessage="1" sqref="E37:F37">
      <formula1>"該当しない,該当する"</formula1>
    </dataValidation>
    <dataValidation type="list" allowBlank="1" showInputMessage="1" showErrorMessage="1" sqref="B3">
      <formula1>"高等学校奨学金,大学等奨学金"</formula1>
    </dataValidation>
  </dataValidation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1"/>
  <sheetViews>
    <sheetView zoomScaleNormal="100" workbookViewId="0">
      <selection activeCell="B3" sqref="B3:C4"/>
    </sheetView>
  </sheetViews>
  <sheetFormatPr defaultRowHeight="13.5"/>
  <cols>
    <col min="1" max="1" width="27.625" bestFit="1" customWidth="1"/>
    <col min="2" max="2" width="14.375" bestFit="1" customWidth="1"/>
    <col min="3" max="3" width="17.375" bestFit="1" customWidth="1"/>
    <col min="4" max="4" width="10.125" customWidth="1"/>
    <col min="6" max="6" width="30.25" customWidth="1"/>
    <col min="7" max="8" width="10.375" customWidth="1"/>
    <col min="9" max="9" width="12.875" bestFit="1" customWidth="1"/>
  </cols>
  <sheetData>
    <row r="2" spans="1:9" ht="17.25">
      <c r="A2" s="8" t="s">
        <v>45</v>
      </c>
      <c r="C2" s="19"/>
    </row>
    <row r="3" spans="1:9" ht="14.25" customHeight="1" thickBot="1">
      <c r="A3" s="8"/>
      <c r="C3" s="19"/>
    </row>
    <row r="4" spans="1:9" ht="14.25" customHeight="1" thickTop="1" thickBot="1">
      <c r="A4" s="8"/>
      <c r="B4" s="15" t="s">
        <v>44</v>
      </c>
      <c r="C4" s="24">
        <f>C7-I7</f>
        <v>-740000</v>
      </c>
      <c r="D4" s="25"/>
      <c r="E4" s="50"/>
    </row>
    <row r="5" spans="1:9" ht="14.25" customHeight="1" thickTop="1">
      <c r="A5" s="8"/>
    </row>
    <row r="6" spans="1:9" ht="14.25" thickBot="1"/>
    <row r="7" spans="1:9" ht="14.25" thickBot="1">
      <c r="B7" s="5" t="s">
        <v>15</v>
      </c>
      <c r="C7" s="6">
        <f>SUM(C14,C24,C37,C50)</f>
        <v>0</v>
      </c>
      <c r="G7" s="143" t="s">
        <v>41</v>
      </c>
      <c r="H7" s="143"/>
      <c r="I7" s="6">
        <f>SUM(I11:I33)</f>
        <v>740000</v>
      </c>
    </row>
    <row r="9" spans="1:9">
      <c r="A9" t="s">
        <v>0</v>
      </c>
      <c r="F9" t="s">
        <v>39</v>
      </c>
      <c r="I9" s="9" t="s">
        <v>40</v>
      </c>
    </row>
    <row r="10" spans="1:9" ht="14.25" thickBot="1">
      <c r="F10" s="10" t="s">
        <v>21</v>
      </c>
      <c r="G10" s="12" t="s">
        <v>17</v>
      </c>
      <c r="H10" s="13" t="s">
        <v>16</v>
      </c>
    </row>
    <row r="11" spans="1:9" ht="14.25" thickBot="1">
      <c r="A11" t="s">
        <v>1</v>
      </c>
      <c r="B11" s="1" t="s">
        <v>4</v>
      </c>
      <c r="C11" s="7">
        <f>ワークシート!B11</f>
        <v>0</v>
      </c>
      <c r="F11" s="11" t="s">
        <v>18</v>
      </c>
      <c r="G11" s="135">
        <f>ワークシート!E21</f>
        <v>0</v>
      </c>
      <c r="H11" s="142"/>
      <c r="I11" s="22">
        <f>G11*310000</f>
        <v>0</v>
      </c>
    </row>
    <row r="12" spans="1:9">
      <c r="B12" t="s">
        <v>5</v>
      </c>
      <c r="C12" s="3">
        <f>ROUNDDOWN(C11,-4)</f>
        <v>0</v>
      </c>
      <c r="F12" s="11" t="s">
        <v>19</v>
      </c>
      <c r="G12" s="135">
        <f>ワークシート!E22</f>
        <v>0</v>
      </c>
      <c r="H12" s="142"/>
      <c r="I12" s="23">
        <f>G12*460000</f>
        <v>0</v>
      </c>
    </row>
    <row r="13" spans="1:9" ht="14.25" thickBot="1">
      <c r="C13" s="2"/>
      <c r="F13" s="11" t="s">
        <v>22</v>
      </c>
      <c r="G13" s="14">
        <f>ワークシート!E23</f>
        <v>0</v>
      </c>
      <c r="H13" s="20">
        <f>ワークシート!F23</f>
        <v>0</v>
      </c>
      <c r="I13" s="23">
        <f>G13*390000+H13*690000</f>
        <v>0</v>
      </c>
    </row>
    <row r="14" spans="1:9">
      <c r="A14" t="s">
        <v>79</v>
      </c>
      <c r="B14" s="4">
        <f>IF(C12&lt;=2970000,0,"")</f>
        <v>0</v>
      </c>
      <c r="C14" s="129">
        <f>ROUNDDOWN(SUM(B14:B17),-4)</f>
        <v>0</v>
      </c>
      <c r="F14" s="11" t="s">
        <v>20</v>
      </c>
      <c r="G14" s="14">
        <f>ワークシート!E24</f>
        <v>0</v>
      </c>
      <c r="H14" s="20">
        <f>ワークシート!F24</f>
        <v>0</v>
      </c>
      <c r="I14" s="23">
        <f>G14*880000+H14*1180000</f>
        <v>0</v>
      </c>
    </row>
    <row r="15" spans="1:9">
      <c r="A15" t="s">
        <v>80</v>
      </c>
      <c r="B15" s="4" t="str">
        <f>IF(AND(2680000&lt;=C12,C12&lt;=4000000),C12*0.8-2140000,"")</f>
        <v/>
      </c>
      <c r="C15" s="130"/>
      <c r="F15" s="11" t="s">
        <v>23</v>
      </c>
      <c r="G15" s="14">
        <f>ワークシート!E25</f>
        <v>0</v>
      </c>
      <c r="H15" s="20">
        <f>ワークシート!F25</f>
        <v>0</v>
      </c>
      <c r="I15" s="23">
        <f>G15*390000+H15*690000</f>
        <v>0</v>
      </c>
    </row>
    <row r="16" spans="1:9">
      <c r="A16" t="s">
        <v>2</v>
      </c>
      <c r="B16" s="4" t="str">
        <f>IF(AND(4010000&lt;=C12,C12&lt;=7810000),C12*0.7-1740000,"")</f>
        <v/>
      </c>
      <c r="C16" s="130"/>
      <c r="F16" s="11" t="s">
        <v>24</v>
      </c>
      <c r="G16" s="14">
        <f>ワークシート!E26</f>
        <v>0</v>
      </c>
      <c r="H16" s="20">
        <f>ワークシート!F26</f>
        <v>0</v>
      </c>
      <c r="I16" s="23">
        <f>G16*430000+H16*720000</f>
        <v>0</v>
      </c>
    </row>
    <row r="17" spans="1:9" ht="14.25" thickBot="1">
      <c r="A17" t="s">
        <v>3</v>
      </c>
      <c r="B17" s="4" t="str">
        <f>IF(7820000&lt;=C12,C12-4080000,"")</f>
        <v/>
      </c>
      <c r="C17" s="131"/>
      <c r="F17" s="11" t="s">
        <v>25</v>
      </c>
      <c r="G17" s="14">
        <f>ワークシート!E27</f>
        <v>0</v>
      </c>
      <c r="H17" s="20">
        <f>ワークシート!F27</f>
        <v>0</v>
      </c>
      <c r="I17" s="23">
        <f>G17*880000+H17*1180000</f>
        <v>0</v>
      </c>
    </row>
    <row r="18" spans="1:9">
      <c r="B18" s="4"/>
      <c r="F18" s="11" t="s">
        <v>26</v>
      </c>
      <c r="G18" s="14">
        <f>ワークシート!E28</f>
        <v>0</v>
      </c>
      <c r="H18" s="20">
        <f>ワークシート!F28</f>
        <v>0</v>
      </c>
      <c r="I18" s="23">
        <f>G18*870000+H18*1160000</f>
        <v>0</v>
      </c>
    </row>
    <row r="19" spans="1:9">
      <c r="B19" s="4"/>
      <c r="F19" s="11" t="s">
        <v>27</v>
      </c>
      <c r="G19" s="14">
        <f>ワークシート!E29</f>
        <v>0</v>
      </c>
      <c r="H19" s="20">
        <f>ワークシート!F29</f>
        <v>0</v>
      </c>
      <c r="I19" s="23">
        <f>G19*740000+H19*1210000</f>
        <v>0</v>
      </c>
    </row>
    <row r="20" spans="1:9" ht="14.25" thickBot="1">
      <c r="F20" s="11" t="s">
        <v>28</v>
      </c>
      <c r="G20" s="14">
        <f>ワークシート!E30</f>
        <v>0</v>
      </c>
      <c r="H20" s="20">
        <f>ワークシート!F30</f>
        <v>0</v>
      </c>
      <c r="I20" s="23">
        <f>G20*1330000+H20*1800000</f>
        <v>0</v>
      </c>
    </row>
    <row r="21" spans="1:9" ht="14.25" thickBot="1">
      <c r="A21" t="s">
        <v>6</v>
      </c>
      <c r="B21" s="1" t="s">
        <v>4</v>
      </c>
      <c r="C21" s="7">
        <f>ワークシート!B12</f>
        <v>0</v>
      </c>
      <c r="F21" s="11" t="s">
        <v>29</v>
      </c>
      <c r="G21" s="14">
        <f>ワークシート!E31</f>
        <v>0</v>
      </c>
      <c r="H21" s="20">
        <f>ワークシート!F31</f>
        <v>0</v>
      </c>
      <c r="I21" s="23">
        <f>G21*390000+H21*690000</f>
        <v>0</v>
      </c>
    </row>
    <row r="22" spans="1:9">
      <c r="B22" t="s">
        <v>5</v>
      </c>
      <c r="C22" s="3">
        <f>ROUNDDOWN(C21,-4)</f>
        <v>0</v>
      </c>
      <c r="F22" s="11" t="s">
        <v>30</v>
      </c>
      <c r="G22" s="14">
        <f>ワークシート!E32</f>
        <v>0</v>
      </c>
      <c r="H22" s="20">
        <f>ワークシート!F32</f>
        <v>0</v>
      </c>
      <c r="I22" s="23">
        <f>G22*880000+H22*1180000</f>
        <v>0</v>
      </c>
    </row>
    <row r="23" spans="1:9" ht="14.25" thickBot="1">
      <c r="F23" s="11" t="s">
        <v>31</v>
      </c>
      <c r="G23" s="14">
        <f>ワークシート!E33</f>
        <v>0</v>
      </c>
      <c r="H23" s="20">
        <f>ワークシート!F33</f>
        <v>0</v>
      </c>
      <c r="I23" s="23">
        <f>G23*360000+H23*810000</f>
        <v>0</v>
      </c>
    </row>
    <row r="24" spans="1:9">
      <c r="A24" t="s">
        <v>7</v>
      </c>
      <c r="B24">
        <f>IF(C22&lt;=650000,0,"")</f>
        <v>0</v>
      </c>
      <c r="C24" s="144">
        <f>ROUNDDOWN(SUM(B24:B31),-4)</f>
        <v>0</v>
      </c>
      <c r="F24" s="11" t="s">
        <v>32</v>
      </c>
      <c r="G24" s="14">
        <f>ワークシート!E34</f>
        <v>0</v>
      </c>
      <c r="H24" s="20">
        <f>ワークシート!F34</f>
        <v>0</v>
      </c>
      <c r="I24" s="23">
        <f>G24*1020000+H24*1470000</f>
        <v>0</v>
      </c>
    </row>
    <row r="25" spans="1:9">
      <c r="A25" t="s">
        <v>8</v>
      </c>
      <c r="B25" t="str">
        <f>IF(AND(660000&lt;=C22,C22&lt;=1630000),C22-650000,"")</f>
        <v/>
      </c>
      <c r="C25" s="145"/>
      <c r="F25" s="12" t="s">
        <v>70</v>
      </c>
      <c r="G25" s="17" t="s">
        <v>42</v>
      </c>
      <c r="H25" s="16" t="s">
        <v>43</v>
      </c>
      <c r="I25" s="23"/>
    </row>
    <row r="26" spans="1:9">
      <c r="A26" t="s">
        <v>9</v>
      </c>
      <c r="B26" s="4" t="str">
        <f>IF(AND(1640000&lt;=C22,C22&lt;=1800000),C22*0.6,"")</f>
        <v/>
      </c>
      <c r="C26" s="145"/>
      <c r="F26" s="11" t="s">
        <v>38</v>
      </c>
      <c r="G26" s="18">
        <f>IF(ワークシート!B3="高等学校奨学金",1,0)</f>
        <v>0</v>
      </c>
      <c r="H26" s="21">
        <f>IF(ワークシート!B3="大学等奨学金",1,0)</f>
        <v>1</v>
      </c>
      <c r="I26" s="23">
        <f>G26*390000+H26*740000</f>
        <v>740000</v>
      </c>
    </row>
    <row r="27" spans="1:9">
      <c r="A27" t="s">
        <v>10</v>
      </c>
      <c r="B27" s="4" t="str">
        <f>IF(AND(1810000&lt;=C22,C22&lt;=3600000),C22*0.7-180000,"")</f>
        <v/>
      </c>
      <c r="C27" s="145"/>
      <c r="F27" s="11" t="s">
        <v>33</v>
      </c>
      <c r="G27" s="132">
        <f>IF(ワークシート!E37="該当する",1,0)</f>
        <v>0</v>
      </c>
      <c r="H27" s="133"/>
      <c r="I27" s="23">
        <f>G27*990000</f>
        <v>0</v>
      </c>
    </row>
    <row r="28" spans="1:9">
      <c r="A28" t="s">
        <v>11</v>
      </c>
      <c r="B28" s="4" t="str">
        <f>IF(AND(3610000&lt;=C22,C22&lt;=6600000),C22*0.8-540000,"")</f>
        <v/>
      </c>
      <c r="C28" s="145"/>
      <c r="F28" s="11" t="s">
        <v>34</v>
      </c>
      <c r="G28" s="134">
        <f>ワークシート!E38</f>
        <v>0</v>
      </c>
      <c r="H28" s="135"/>
      <c r="I28" s="23">
        <f>G28*990000</f>
        <v>0</v>
      </c>
    </row>
    <row r="29" spans="1:9">
      <c r="A29" t="s">
        <v>12</v>
      </c>
      <c r="B29" s="4" t="str">
        <f>IF(AND(6610000&lt;=C22,C22&lt;=10000000),C22*0.9-1200000,"")</f>
        <v/>
      </c>
      <c r="C29" s="145"/>
      <c r="F29" s="11" t="s">
        <v>35</v>
      </c>
      <c r="G29" s="136">
        <f>ワークシート!E39</f>
        <v>0</v>
      </c>
      <c r="H29" s="137"/>
      <c r="I29" s="23">
        <f>G29</f>
        <v>0</v>
      </c>
    </row>
    <row r="30" spans="1:9">
      <c r="A30" t="s">
        <v>13</v>
      </c>
      <c r="B30" s="4" t="str">
        <f>IF(AND(10010000&lt;=C22,C22&lt;=15000000),C22*0.95-1700000,"")</f>
        <v/>
      </c>
      <c r="C30" s="145"/>
      <c r="F30" s="11" t="s">
        <v>36</v>
      </c>
      <c r="G30" s="136">
        <f>ワークシート!E40</f>
        <v>0</v>
      </c>
      <c r="H30" s="137"/>
      <c r="I30" s="23">
        <f t="shared" ref="I30:I31" si="0">G30</f>
        <v>0</v>
      </c>
    </row>
    <row r="31" spans="1:9" ht="14.25" thickBot="1">
      <c r="A31" t="s">
        <v>14</v>
      </c>
      <c r="B31" s="4" t="str">
        <f>IF(15010000&lt;=C22,C22-2450000,"")</f>
        <v/>
      </c>
      <c r="C31" s="146"/>
      <c r="F31" s="11" t="s">
        <v>37</v>
      </c>
      <c r="G31" s="136">
        <f>ワークシート!E41</f>
        <v>0</v>
      </c>
      <c r="H31" s="137"/>
      <c r="I31" s="33">
        <f t="shared" si="0"/>
        <v>0</v>
      </c>
    </row>
    <row r="32" spans="1:9">
      <c r="F32" s="10" t="s">
        <v>68</v>
      </c>
      <c r="G32" s="140"/>
      <c r="H32" s="141"/>
      <c r="I32" s="40"/>
    </row>
    <row r="33" spans="1:9" ht="14.25" thickBot="1">
      <c r="F33" s="11" t="s">
        <v>69</v>
      </c>
      <c r="G33" s="138">
        <f>ワークシート!D8</f>
        <v>2</v>
      </c>
      <c r="H33" s="139"/>
      <c r="I33" s="34" t="str">
        <f>IF(G33&lt;3,"エラー",(G33-2)*(I26+500000))</f>
        <v>エラー</v>
      </c>
    </row>
    <row r="34" spans="1:9" ht="14.25" thickBot="1">
      <c r="A34" t="s">
        <v>6</v>
      </c>
      <c r="B34" s="1" t="s">
        <v>4</v>
      </c>
      <c r="C34" s="7">
        <f>ワークシート!B13</f>
        <v>0</v>
      </c>
    </row>
    <row r="35" spans="1:9">
      <c r="B35" t="s">
        <v>5</v>
      </c>
      <c r="C35" s="3">
        <f>ROUNDDOWN(C34,-4)</f>
        <v>0</v>
      </c>
    </row>
    <row r="36" spans="1:9" ht="14.25" thickBot="1"/>
    <row r="37" spans="1:9">
      <c r="A37" t="s">
        <v>7</v>
      </c>
      <c r="B37">
        <f>IF(C35&lt;=650000,0,"")</f>
        <v>0</v>
      </c>
      <c r="C37" s="129">
        <f>ROUNDDOWN(SUM(B37:B44),-4)</f>
        <v>0</v>
      </c>
    </row>
    <row r="38" spans="1:9">
      <c r="A38" t="s">
        <v>8</v>
      </c>
      <c r="B38" t="str">
        <f>IF(AND(660000&lt;=C35,C35&lt;=1630000),C35-650000,"")</f>
        <v/>
      </c>
      <c r="C38" s="130"/>
    </row>
    <row r="39" spans="1:9">
      <c r="A39" t="s">
        <v>9</v>
      </c>
      <c r="B39" s="4" t="str">
        <f>IF(AND(1640000&lt;=C35,C35&lt;=1800000),C35*0.6,"")</f>
        <v/>
      </c>
      <c r="C39" s="130"/>
    </row>
    <row r="40" spans="1:9">
      <c r="A40" t="s">
        <v>10</v>
      </c>
      <c r="B40" s="4" t="str">
        <f>IF(AND(1810000&lt;=C35,C35&lt;=3600000),C35*0.7-180000,"")</f>
        <v/>
      </c>
      <c r="C40" s="130"/>
    </row>
    <row r="41" spans="1:9">
      <c r="A41" t="s">
        <v>11</v>
      </c>
      <c r="B41" s="4" t="str">
        <f>IF(AND(3610000&lt;=C35,C35&lt;=6600000),C35*0.8-540000,"")</f>
        <v/>
      </c>
      <c r="C41" s="130"/>
    </row>
    <row r="42" spans="1:9">
      <c r="A42" t="s">
        <v>12</v>
      </c>
      <c r="B42" s="4" t="str">
        <f>IF(AND(6610000&lt;=C35,C35&lt;=10000000),C35*0.9-1200000,"")</f>
        <v/>
      </c>
      <c r="C42" s="130"/>
    </row>
    <row r="43" spans="1:9">
      <c r="A43" t="s">
        <v>13</v>
      </c>
      <c r="B43" s="4" t="str">
        <f>IF(AND(10010000&lt;=C35,C35&lt;=15000000),C35*0.95-1700000,"")</f>
        <v/>
      </c>
      <c r="C43" s="130"/>
    </row>
    <row r="44" spans="1:9" ht="14.25" thickBot="1">
      <c r="A44" t="s">
        <v>14</v>
      </c>
      <c r="B44" s="4" t="str">
        <f>IF(15010000&lt;=C35,C35-2450000,"")</f>
        <v/>
      </c>
      <c r="C44" s="131"/>
    </row>
    <row r="46" spans="1:9" ht="14.25" thickBot="1"/>
    <row r="47" spans="1:9" ht="14.25" thickBot="1">
      <c r="A47" t="s">
        <v>6</v>
      </c>
      <c r="B47" s="1" t="s">
        <v>4</v>
      </c>
      <c r="C47" s="7">
        <f>ワークシート!B14</f>
        <v>0</v>
      </c>
    </row>
    <row r="48" spans="1:9">
      <c r="B48" t="s">
        <v>5</v>
      </c>
      <c r="C48" s="3">
        <f>ROUNDDOWN(C47,-4)</f>
        <v>0</v>
      </c>
    </row>
    <row r="49" spans="1:3" ht="14.25" thickBot="1"/>
    <row r="50" spans="1:3">
      <c r="A50" t="s">
        <v>7</v>
      </c>
      <c r="B50">
        <f>IF(C48&lt;=650000,0,"")</f>
        <v>0</v>
      </c>
      <c r="C50" s="129">
        <f>ROUNDDOWN(SUM(B50:B57),-4)</f>
        <v>0</v>
      </c>
    </row>
    <row r="51" spans="1:3">
      <c r="A51" t="s">
        <v>8</v>
      </c>
      <c r="B51" t="str">
        <f>IF(AND(660000&lt;=C48,C48&lt;=1630000),C48-650000,"")</f>
        <v/>
      </c>
      <c r="C51" s="130"/>
    </row>
    <row r="52" spans="1:3">
      <c r="A52" t="s">
        <v>9</v>
      </c>
      <c r="B52" s="4" t="str">
        <f>IF(AND(1640000&lt;=C48,C48&lt;=1800000),C48*0.6,"")</f>
        <v/>
      </c>
      <c r="C52" s="130"/>
    </row>
    <row r="53" spans="1:3">
      <c r="A53" t="s">
        <v>10</v>
      </c>
      <c r="B53" s="4" t="str">
        <f>IF(AND(1810000&lt;=C48,C48&lt;=3600000),C48*0.7-180000,"")</f>
        <v/>
      </c>
      <c r="C53" s="130"/>
    </row>
    <row r="54" spans="1:3">
      <c r="A54" t="s">
        <v>11</v>
      </c>
      <c r="B54" s="4" t="str">
        <f>IF(AND(3610000&lt;=C48,C48&lt;=6600000),C48*0.8-540000,"")</f>
        <v/>
      </c>
      <c r="C54" s="130"/>
    </row>
    <row r="55" spans="1:3">
      <c r="A55" t="s">
        <v>12</v>
      </c>
      <c r="B55" s="4" t="str">
        <f>IF(AND(6610000&lt;=C48,C48&lt;=10000000),C48*0.9-1200000,"")</f>
        <v/>
      </c>
      <c r="C55" s="130"/>
    </row>
    <row r="56" spans="1:3">
      <c r="A56" t="s">
        <v>13</v>
      </c>
      <c r="B56" s="4" t="str">
        <f>IF(AND(10010000&lt;=C48,C48&lt;=15000000),C48*0.95-1700000,"")</f>
        <v/>
      </c>
      <c r="C56" s="130"/>
    </row>
    <row r="57" spans="1:3" ht="14.25" thickBot="1">
      <c r="A57" t="s">
        <v>14</v>
      </c>
      <c r="B57" s="4" t="str">
        <f>IF(15010000&lt;=C48,C48-2450000,"")</f>
        <v/>
      </c>
      <c r="C57" s="131"/>
    </row>
    <row r="58" spans="1:3" ht="14.25" thickBot="1"/>
    <row r="59" spans="1:3" ht="14.25" thickBot="1">
      <c r="A59" t="s">
        <v>6</v>
      </c>
      <c r="B59" s="1" t="s">
        <v>4</v>
      </c>
      <c r="C59" s="7">
        <f>ワークシート!B15</f>
        <v>0</v>
      </c>
    </row>
    <row r="60" spans="1:3">
      <c r="B60" t="s">
        <v>5</v>
      </c>
      <c r="C60" s="3">
        <f>ROUNDDOWN(C59,-4)</f>
        <v>0</v>
      </c>
    </row>
    <row r="61" spans="1:3" ht="14.25" thickBot="1"/>
    <row r="62" spans="1:3">
      <c r="A62" t="s">
        <v>7</v>
      </c>
      <c r="B62">
        <f>IF(C60&lt;=650000,0,"")</f>
        <v>0</v>
      </c>
      <c r="C62" s="129">
        <f>ROUNDDOWN(SUM(B62:B69),-4)</f>
        <v>0</v>
      </c>
    </row>
    <row r="63" spans="1:3">
      <c r="A63" t="s">
        <v>8</v>
      </c>
      <c r="B63" t="str">
        <f>IF(AND(660000&lt;=C60,C60&lt;=1630000),C60-650000,"")</f>
        <v/>
      </c>
      <c r="C63" s="130"/>
    </row>
    <row r="64" spans="1:3">
      <c r="A64" t="s">
        <v>9</v>
      </c>
      <c r="B64" s="4" t="str">
        <f>IF(AND(1640000&lt;=C60,C60&lt;=1800000),C60*0.6,"")</f>
        <v/>
      </c>
      <c r="C64" s="130"/>
    </row>
    <row r="65" spans="1:3">
      <c r="A65" t="s">
        <v>10</v>
      </c>
      <c r="B65" s="4" t="str">
        <f>IF(AND(1810000&lt;=C60,C60&lt;=3600000),C60*0.7-180000,"")</f>
        <v/>
      </c>
      <c r="C65" s="130"/>
    </row>
    <row r="66" spans="1:3">
      <c r="A66" t="s">
        <v>11</v>
      </c>
      <c r="B66" s="4" t="str">
        <f>IF(AND(3610000&lt;=C60,C60&lt;=6600000),C60*0.8-540000,"")</f>
        <v/>
      </c>
      <c r="C66" s="130"/>
    </row>
    <row r="67" spans="1:3">
      <c r="A67" t="s">
        <v>12</v>
      </c>
      <c r="B67" s="4" t="str">
        <f>IF(AND(6610000&lt;=C60,C60&lt;=10000000),C60*0.9-1200000,"")</f>
        <v/>
      </c>
      <c r="C67" s="130"/>
    </row>
    <row r="68" spans="1:3">
      <c r="A68" t="s">
        <v>13</v>
      </c>
      <c r="B68" s="4" t="str">
        <f>IF(AND(10010000&lt;=C60,C60&lt;=15000000),C60*0.95-1700000,"")</f>
        <v/>
      </c>
      <c r="C68" s="130"/>
    </row>
    <row r="69" spans="1:3" ht="14.25" thickBot="1">
      <c r="A69" t="s">
        <v>14</v>
      </c>
      <c r="B69" s="4" t="str">
        <f>IF(15010000&lt;=C60,C60-2450000,"")</f>
        <v/>
      </c>
      <c r="C69" s="131"/>
    </row>
    <row r="70" spans="1:3" ht="14.25" thickBot="1"/>
    <row r="71" spans="1:3" ht="14.25" thickBot="1">
      <c r="A71" t="s">
        <v>6</v>
      </c>
      <c r="B71" s="1" t="s">
        <v>4</v>
      </c>
      <c r="C71" s="7">
        <f>ワークシート!B16</f>
        <v>0</v>
      </c>
    </row>
    <row r="72" spans="1:3">
      <c r="B72" t="s">
        <v>5</v>
      </c>
      <c r="C72" s="3">
        <f>ROUNDDOWN(C71,-4)</f>
        <v>0</v>
      </c>
    </row>
    <row r="73" spans="1:3" ht="14.25" thickBot="1"/>
    <row r="74" spans="1:3">
      <c r="A74" t="s">
        <v>7</v>
      </c>
      <c r="B74">
        <f>IF(C72&lt;=650000,0,"")</f>
        <v>0</v>
      </c>
      <c r="C74" s="129">
        <f>ROUNDDOWN(SUM(B74:B81),-4)</f>
        <v>0</v>
      </c>
    </row>
    <row r="75" spans="1:3">
      <c r="A75" t="s">
        <v>8</v>
      </c>
      <c r="B75" t="str">
        <f>IF(AND(660000&lt;=C72,C72&lt;=1630000),C72-650000,"")</f>
        <v/>
      </c>
      <c r="C75" s="130"/>
    </row>
    <row r="76" spans="1:3">
      <c r="A76" t="s">
        <v>9</v>
      </c>
      <c r="B76" s="4" t="str">
        <f>IF(AND(1640000&lt;=C72,C72&lt;=1800000),C72*0.6,"")</f>
        <v/>
      </c>
      <c r="C76" s="130"/>
    </row>
    <row r="77" spans="1:3">
      <c r="A77" t="s">
        <v>10</v>
      </c>
      <c r="B77" s="4" t="str">
        <f>IF(AND(1810000&lt;=C72,C72&lt;=3600000),C72*0.7-180000,"")</f>
        <v/>
      </c>
      <c r="C77" s="130"/>
    </row>
    <row r="78" spans="1:3">
      <c r="A78" t="s">
        <v>11</v>
      </c>
      <c r="B78" s="4" t="str">
        <f>IF(AND(3610000&lt;=C72,C72&lt;=6600000),C72*0.8-540000,"")</f>
        <v/>
      </c>
      <c r="C78" s="130"/>
    </row>
    <row r="79" spans="1:3">
      <c r="A79" t="s">
        <v>12</v>
      </c>
      <c r="B79" s="4" t="str">
        <f>IF(AND(6610000&lt;=C72,C72&lt;=10000000),C72*0.9-1200000,"")</f>
        <v/>
      </c>
      <c r="C79" s="130"/>
    </row>
    <row r="80" spans="1:3">
      <c r="A80" t="s">
        <v>13</v>
      </c>
      <c r="B80" s="4" t="str">
        <f>IF(AND(10010000&lt;=C72,C72&lt;=15000000),C72*0.95-1700000,"")</f>
        <v/>
      </c>
      <c r="C80" s="130"/>
    </row>
    <row r="81" spans="1:3" ht="14.25" thickBot="1">
      <c r="A81" t="s">
        <v>14</v>
      </c>
      <c r="B81" s="4" t="str">
        <f>IF(15010000&lt;=C72,C72-2450000,"")</f>
        <v/>
      </c>
      <c r="C81" s="131"/>
    </row>
  </sheetData>
  <sheetProtection selectLockedCells="1" selectUnlockedCells="1"/>
  <mergeCells count="16">
    <mergeCell ref="G11:H11"/>
    <mergeCell ref="G12:H12"/>
    <mergeCell ref="G7:H7"/>
    <mergeCell ref="C14:C17"/>
    <mergeCell ref="C24:C31"/>
    <mergeCell ref="C62:C69"/>
    <mergeCell ref="C74:C81"/>
    <mergeCell ref="C37:C44"/>
    <mergeCell ref="C50:C57"/>
    <mergeCell ref="G27:H27"/>
    <mergeCell ref="G28:H28"/>
    <mergeCell ref="G29:H29"/>
    <mergeCell ref="G30:H30"/>
    <mergeCell ref="G31:H31"/>
    <mergeCell ref="G33:H33"/>
    <mergeCell ref="G32:H32"/>
  </mergeCells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B3" sqref="B3:C4"/>
    </sheetView>
  </sheetViews>
  <sheetFormatPr defaultRowHeight="13.5"/>
  <cols>
    <col min="2" max="3" width="14.75" customWidth="1"/>
    <col min="6" max="6" width="9.25" bestFit="1" customWidth="1"/>
  </cols>
  <sheetData>
    <row r="1" spans="1:6">
      <c r="A1" s="147" t="s">
        <v>49</v>
      </c>
      <c r="B1" s="147"/>
      <c r="C1" s="147"/>
    </row>
    <row r="2" spans="1:6" ht="14.25" thickBot="1">
      <c r="A2" s="29" t="s">
        <v>46</v>
      </c>
      <c r="B2" s="29" t="s">
        <v>47</v>
      </c>
      <c r="C2" s="29" t="s">
        <v>48</v>
      </c>
    </row>
    <row r="3" spans="1:6" ht="15" thickTop="1">
      <c r="A3" s="28">
        <v>1</v>
      </c>
      <c r="B3" s="47">
        <v>2120000</v>
      </c>
      <c r="C3" s="47">
        <v>2860000</v>
      </c>
    </row>
    <row r="4" spans="1:6" ht="14.25">
      <c r="A4" s="28">
        <v>2</v>
      </c>
      <c r="B4" s="48">
        <v>3800000</v>
      </c>
      <c r="C4" s="48">
        <v>4550000</v>
      </c>
    </row>
    <row r="5" spans="1:6" ht="14.25">
      <c r="A5" s="28">
        <v>3</v>
      </c>
      <c r="B5" s="48">
        <v>4730000</v>
      </c>
      <c r="C5" s="48">
        <v>5270000</v>
      </c>
    </row>
    <row r="6" spans="1:6" ht="14.25">
      <c r="A6" s="28">
        <v>4</v>
      </c>
      <c r="B6" s="48">
        <v>5150000</v>
      </c>
      <c r="C6" s="48">
        <v>5720000</v>
      </c>
    </row>
    <row r="7" spans="1:6" ht="14.25">
      <c r="A7" s="28">
        <v>5</v>
      </c>
      <c r="B7" s="48">
        <v>5700000</v>
      </c>
      <c r="C7" s="67">
        <v>6170000</v>
      </c>
    </row>
    <row r="8" spans="1:6" ht="14.25">
      <c r="A8" s="28">
        <v>6</v>
      </c>
      <c r="B8" s="48">
        <v>6080000</v>
      </c>
      <c r="C8" s="48">
        <v>6500000</v>
      </c>
      <c r="F8" s="49"/>
    </row>
    <row r="9" spans="1:6" ht="14.25">
      <c r="A9" s="28">
        <v>7</v>
      </c>
      <c r="B9" s="48">
        <v>6350000</v>
      </c>
      <c r="C9" s="48">
        <v>6770000</v>
      </c>
    </row>
    <row r="10" spans="1:6" ht="14.25">
      <c r="A10" s="28">
        <v>8</v>
      </c>
      <c r="B10" s="48">
        <v>6600000</v>
      </c>
      <c r="C10" s="48">
        <v>7040000</v>
      </c>
    </row>
    <row r="11" spans="1:6" ht="39.75" customHeight="1">
      <c r="A11" s="26" t="s">
        <v>72</v>
      </c>
      <c r="B11" s="27" t="s">
        <v>86</v>
      </c>
      <c r="C11" s="27" t="s">
        <v>85</v>
      </c>
    </row>
  </sheetData>
  <sheetProtection selectLockedCells="1" selectUnlockedCells="1"/>
  <mergeCells count="1">
    <mergeCell ref="A1:C1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ワークシート</vt:lpstr>
      <vt:lpstr>計算シート</vt:lpstr>
      <vt:lpstr>認定所得金額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下野市</dc:creator>
  <cp:lastModifiedBy>下野市</cp:lastModifiedBy>
  <cp:lastPrinted>2020-02-18T04:28:05Z</cp:lastPrinted>
  <dcterms:created xsi:type="dcterms:W3CDTF">2015-12-02T04:30:32Z</dcterms:created>
  <dcterms:modified xsi:type="dcterms:W3CDTF">2020-10-12T00:50:01Z</dcterms:modified>
</cp:coreProperties>
</file>